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130" tabRatio="894" activeTab="3"/>
  </bookViews>
  <sheets>
    <sheet name="附件1" sheetId="6" r:id="rId1"/>
    <sheet name="附件2" sheetId="10" r:id="rId2"/>
    <sheet name="附件3补助差异汇总表" sheetId="17" r:id="rId3"/>
    <sheet name="附件3-1村卫生室补助测算" sheetId="14" r:id="rId4"/>
    <sheet name="附件3-2区级一级医疗机构补助测算" sheetId="15" r:id="rId5"/>
    <sheet name="附件3-3二级及以上医疗机构补助测算" sheetId="16" r:id="rId6"/>
    <sheet name="Sheet2" sheetId="8" r:id="rId7"/>
    <sheet name="投资计划表" sheetId="2" state="hidden" r:id="rId8"/>
    <sheet name="拨入资金" sheetId="1" state="hidden" r:id="rId9"/>
    <sheet name="资金支付" sheetId="3" state="hidden" r:id="rId10"/>
    <sheet name="项目实施情况" sheetId="4" state="hidden" r:id="rId11"/>
    <sheet name="Sheet1" sheetId="7" state="hidden" r:id="rId12"/>
  </sheets>
  <definedNames>
    <definedName name="_xlnm.Print_Area" localSheetId="0">附件1!$A$1:$N$54</definedName>
    <definedName name="_xlnm.Print_Titles" localSheetId="0">附件1!$1:$5</definedName>
    <definedName name="_xlnm._FilterDatabase" localSheetId="0" hidden="1">附件1!$A$5:$Q$54</definedName>
    <definedName name="_xlnm._FilterDatabase" localSheetId="6" hidden="1">Sheet2!$A$26:$F$26</definedName>
    <definedName name="_xlnm._FilterDatabase" localSheetId="3" hidden="1">'附件3-1村卫生室补助测算'!$B$5:$P$313</definedName>
    <definedName name="_xlnm._FilterDatabase" localSheetId="2" hidden="1">附件3补助差异汇总表!$A$5:$J$5</definedName>
    <definedName name="_xlnm.Print_Area" localSheetId="2">附件3补助差异汇总表!$A$1:$J$45</definedName>
    <definedName name="_xlnm.Print_Titles" localSheetId="2">附件3补助差异汇总表!$1:$5</definedName>
  </definedNames>
  <calcPr calcId="144525"/>
</workbook>
</file>

<file path=xl/sharedStrings.xml><?xml version="1.0" encoding="utf-8"?>
<sst xmlns="http://schemas.openxmlformats.org/spreadsheetml/2006/main" count="853" uniqueCount="625">
  <si>
    <t>附件1</t>
  </si>
  <si>
    <t>绩效评价指标体系打分表</t>
  </si>
  <si>
    <t>项目名称：2021年榆阳区公立医疗机构药品零差率补助项目</t>
  </si>
  <si>
    <t>项目实施单位：榆阳区卫生健康局</t>
  </si>
  <si>
    <t>一级指标</t>
  </si>
  <si>
    <t>二级指标</t>
  </si>
  <si>
    <t>三级指标</t>
  </si>
  <si>
    <t>赋分值</t>
  </si>
  <si>
    <t>评分标准</t>
  </si>
  <si>
    <t>完成情况</t>
  </si>
  <si>
    <t>得分</t>
  </si>
  <si>
    <t>扣分原因</t>
  </si>
  <si>
    <t>一级指标得分</t>
  </si>
  <si>
    <t>备注</t>
  </si>
  <si>
    <t>指标</t>
  </si>
  <si>
    <t>分值</t>
  </si>
  <si>
    <t>指标说明</t>
  </si>
  <si>
    <t>决策</t>
  </si>
  <si>
    <t>项目立项</t>
  </si>
  <si>
    <t>立项依据充分性</t>
  </si>
  <si>
    <t>项目立项是否符合法律法规、相关政策、发展规划以及部门职责，用以反映和考核项目立项依据情况</t>
  </si>
  <si>
    <t>①项目立项是否符合国家法律法规、国民经济发展规划和相关政策</t>
  </si>
  <si>
    <t>是</t>
  </si>
  <si>
    <t>②项目立项是否符合行业发展规划和政策要求</t>
  </si>
  <si>
    <t>③项目立项是否与部门职责范围相符，属于部门履职所需</t>
  </si>
  <si>
    <t>④项目是否属于公共财政支持范围，是否符合中央、地方事权支出责任划分原则</t>
  </si>
  <si>
    <t>立项程序规范性</t>
  </si>
  <si>
    <t>①项目是否按照规定的程序申请设立</t>
  </si>
  <si>
    <t>②审批文件、材料是否符合相关要求</t>
  </si>
  <si>
    <t>项目申请、设立过程是否符合相关要求，用以反映和考核项目立项的规范情况</t>
  </si>
  <si>
    <t>③事前是否已经过必要的可行性研究、专家论证、风险评估、绩效评估、集体决策</t>
  </si>
  <si>
    <t>绩效目标</t>
  </si>
  <si>
    <t>绩效目标合理性</t>
  </si>
  <si>
    <t>①项目是否有绩效目标</t>
  </si>
  <si>
    <t>②项目绩效目标与实际工作内容是否具有相关性</t>
  </si>
  <si>
    <t>③项目预期产出效益和效果是否符合正常的业绩水平</t>
  </si>
  <si>
    <t>项目所设定的绩效目标是否依据充分，是否符合客观实际，用以反映和考核项目绩效目标与项目实施的相符情况。</t>
  </si>
  <si>
    <t>④是否与预算确定的项目投资额或资金量相匹配</t>
  </si>
  <si>
    <t>绩效指标明确性</t>
  </si>
  <si>
    <t>①是否将项目绩效目标细化分解为具体的绩效指标</t>
  </si>
  <si>
    <t>②是否通过清晰、可衡量的指标值予以体现</t>
  </si>
  <si>
    <t>依据绩效目标设定的绩效指标是否清晰、细化、可衡量等，用以反映和考核项目绩效目标的明细化情况。</t>
  </si>
  <si>
    <t>③是否与项目目标任务数或计划数相对应</t>
  </si>
  <si>
    <t>资金投入</t>
  </si>
  <si>
    <t>预算编制科学性</t>
  </si>
  <si>
    <t>①预算编制是否经过科学论证</t>
  </si>
  <si>
    <t>②预算内容与项目内容是否匹配</t>
  </si>
  <si>
    <t>③预算额度测算依据是否充分，是否按照标准编制</t>
  </si>
  <si>
    <t>项目预算编制是否经过科学论证、有明确标准，资金额度与年度目标是否相适应，用以反映和考核项目预算编制的科学性、合理性情况。</t>
  </si>
  <si>
    <t>④预算确定的项目投资额或资金量是否与工作任务相匹配</t>
  </si>
  <si>
    <t>资金分配合理性</t>
  </si>
  <si>
    <t>①预算资金分配依据是否充分</t>
  </si>
  <si>
    <t>项目预算资金分配是否有测算依据，与补助单位或地方实际是否相适应，用以反映和考核项目预算资金分配的科学性、合理性情况。</t>
  </si>
  <si>
    <t>②资金分配额度是否合理，与项目单位或地方实际是否相适应</t>
  </si>
  <si>
    <t>过程</t>
  </si>
  <si>
    <t>资金管理</t>
  </si>
  <si>
    <t>资金到位率</t>
  </si>
  <si>
    <t>实际到位资金与预算资金的比率，用以反映和考核资金落实情况对项目实施的总体保障程度。</t>
  </si>
  <si>
    <t xml:space="preserve">资金到位率=（实际到位资金/计划投入资金）×100%
</t>
  </si>
  <si>
    <t>预算执行率</t>
  </si>
  <si>
    <t>项目预算资金是否按照计划执行，用以反映或考核项目预算执行情况。</t>
  </si>
  <si>
    <t xml:space="preserve">预算执行率=（实际支出资金/实际到位资金）×100%
</t>
  </si>
  <si>
    <t>资金使用合规性</t>
  </si>
  <si>
    <t>①是否符合国家财经法规和财务管理制度以及有关专项资金管理办法的规定</t>
  </si>
  <si>
    <t>否</t>
  </si>
  <si>
    <t>不符合药品零差率销售补助办法</t>
  </si>
  <si>
    <t>②资金的拨付是否有完整的审批程序和手续</t>
  </si>
  <si>
    <t>③是否符合项目预算批复或合同规定的用途</t>
  </si>
  <si>
    <t>项目资金使用是否符合相关的财务管理制度规定，用以反映和考核项目资金的规范运行情况。</t>
  </si>
  <si>
    <t>④是否存在截留、挤占、挪用、虚列支出等情况</t>
  </si>
  <si>
    <t>存在截留</t>
  </si>
  <si>
    <t>组织实施</t>
  </si>
  <si>
    <t>管理制度健全性</t>
  </si>
  <si>
    <t>①是否已制定或具有相应的业务管理制度</t>
  </si>
  <si>
    <t>②是否已制定或具有相应的财务管理制度</t>
  </si>
  <si>
    <t>项目管理制度是否健全，用以反映和考核财务和业务管理制度对项目顺利实施的保障情况。</t>
  </si>
  <si>
    <t>③财务和业务管理制度是否合法、合规、完整</t>
  </si>
  <si>
    <t>业务管理制度有待完善</t>
  </si>
  <si>
    <t>④是否制定项目相关补助方案或工作计划</t>
  </si>
  <si>
    <t>制度执行有效性</t>
  </si>
  <si>
    <t>①是否遵守相关法律法规和相关管理规定</t>
  </si>
  <si>
    <t>未按要求进行补助</t>
  </si>
  <si>
    <t>②项目调整及支出调整手续是否完备</t>
  </si>
  <si>
    <t>③项目资金申请资料、审查报告、协议书、资金拨付单据等资料是否齐全并及时归档</t>
  </si>
  <si>
    <t>考核资料不完善</t>
  </si>
  <si>
    <t>项目实施是否符合相关管理规定，用以反映和考核相关管理制度的有效执行情况。</t>
  </si>
  <si>
    <t>④项目实施的人员条件、场地设备、信息支撑等是否落实到位</t>
  </si>
  <si>
    <t>项目质量可控性</t>
  </si>
  <si>
    <t>①组织机构是否健全、分工明确</t>
  </si>
  <si>
    <t>质量控制措施不到位</t>
  </si>
  <si>
    <t>项目实施是否质量可控，用以反映和考核基本内容目质量控制的有效执行情况。</t>
  </si>
  <si>
    <t>②是否采取或制定了相应的项目质量检查、验收等必须的控制措施和手段</t>
  </si>
  <si>
    <t>产出</t>
  </si>
  <si>
    <t>产出数量</t>
  </si>
  <si>
    <t>实际完成率</t>
  </si>
  <si>
    <t>农业专项补助资金实施的实际产出数与计划产出数的比率，用以反映和考核项目产出数量目标的实现程度。</t>
  </si>
  <si>
    <t>药品零差率销售补助完成率</t>
  </si>
  <si>
    <t>未100%完成</t>
  </si>
  <si>
    <t>村医及协管员补助完成率</t>
  </si>
  <si>
    <t>产出质量</t>
  </si>
  <si>
    <t>质量达标率</t>
  </si>
  <si>
    <t>药品零差率销售补助发放准确率</t>
  </si>
  <si>
    <t>未按标准进行补助，存在错补、漏补</t>
  </si>
  <si>
    <t>村医补助发放准确率</t>
  </si>
  <si>
    <t>产出时效</t>
  </si>
  <si>
    <t>完成及时性</t>
  </si>
  <si>
    <t>药品零差率销售补助完成及时率</t>
  </si>
  <si>
    <t>补助完成及时率</t>
  </si>
  <si>
    <t>效益</t>
  </si>
  <si>
    <t>项目效益</t>
  </si>
  <si>
    <t>社会效益</t>
  </si>
  <si>
    <t>有利于合理使用药品，防止药品滥用。</t>
  </si>
  <si>
    <t>基本达成目标</t>
  </si>
  <si>
    <t>降低药品采购价格，减轻群众就医负担。</t>
  </si>
  <si>
    <t>有利于提升医院服务质量，改善就医环境。</t>
  </si>
  <si>
    <t>建立充分体现医疗技术服务价值的价格动态调整机制，促进公立医院良性发展。</t>
  </si>
  <si>
    <t>有利于“药品零差率”销售政策的实施，提高村医提供医疗服务的积极性。</t>
  </si>
  <si>
    <t>部分实现目标</t>
  </si>
  <si>
    <t>满意度</t>
  </si>
  <si>
    <t>社会公众或服务对象对项目实施效果的满意程度。</t>
  </si>
  <si>
    <t>依据社会公众满意度打分。满意，5分；一般满意，3分；满意度较差，1分</t>
  </si>
  <si>
    <t>一般满意</t>
  </si>
  <si>
    <t>合计</t>
  </si>
  <si>
    <t>附件2</t>
  </si>
  <si>
    <t>2021年度榆阳区村医补助漏补、错补统计表</t>
  </si>
  <si>
    <t>单位：万元</t>
  </si>
  <si>
    <t>序号</t>
  </si>
  <si>
    <t>所属乡镇</t>
  </si>
  <si>
    <t>医院名称</t>
  </si>
  <si>
    <t>全年</t>
  </si>
  <si>
    <t>采购金额</t>
  </si>
  <si>
    <t>补助比例</t>
  </si>
  <si>
    <t>药品补助</t>
  </si>
  <si>
    <t>村医补助</t>
  </si>
  <si>
    <t>补助合计</t>
  </si>
  <si>
    <t>古塔镇中心卫生院</t>
  </si>
  <si>
    <t>堡山村卫生室</t>
  </si>
  <si>
    <t>红石桥乡卫生院</t>
  </si>
  <si>
    <t>肖峁村</t>
  </si>
  <si>
    <t>双红村</t>
  </si>
  <si>
    <t>马路湾村</t>
  </si>
  <si>
    <t>闹牛海则</t>
  </si>
  <si>
    <t>牛家梁镇卫生院</t>
  </si>
  <si>
    <t>王则湾村卫生室（刘建斌）</t>
  </si>
  <si>
    <t>郭家伙场村卫生室2（郭福山）</t>
  </si>
  <si>
    <t>鱼河镇中心卫生院</t>
  </si>
  <si>
    <t>王新庄村卫生室</t>
  </si>
  <si>
    <t>许家崖村卫生室</t>
  </si>
  <si>
    <t>寺伙沟村卫生室</t>
  </si>
  <si>
    <t>鱼河峁卫生院</t>
  </si>
  <si>
    <t>梅家畔村卫生室</t>
  </si>
  <si>
    <t>金鸡滩镇中心卫生院</t>
  </si>
  <si>
    <t>曹家滩村</t>
  </si>
  <si>
    <t>金海南村</t>
  </si>
  <si>
    <t>掌盖界村</t>
  </si>
  <si>
    <t>麻黄梁镇卫生院</t>
  </si>
  <si>
    <t>北大村卫生室</t>
  </si>
  <si>
    <t>东刘畔村卫生室</t>
  </si>
  <si>
    <t>乔界村卫生室</t>
  </si>
  <si>
    <t>青云镇卫生院</t>
  </si>
  <si>
    <t>尤家湾村卫生室（尤虎臣）</t>
  </si>
  <si>
    <t>柳树沟村卫生室（祁淑珍）</t>
  </si>
  <si>
    <t>稻科湾</t>
  </si>
  <si>
    <t>清泉卫生院</t>
  </si>
  <si>
    <t>石窑村卫生室</t>
  </si>
  <si>
    <t>寨峁山村卫生室</t>
  </si>
  <si>
    <t>尹家庄村卫生室</t>
  </si>
  <si>
    <t>旋水湾村卫生室</t>
  </si>
  <si>
    <t>井道峁村卫生室</t>
  </si>
  <si>
    <t>设家沟村卫生室</t>
  </si>
  <si>
    <t>向阳山村卫生室</t>
  </si>
  <si>
    <t>石窑坪村卫生室</t>
  </si>
  <si>
    <t>持家峁村卫生室</t>
  </si>
  <si>
    <t>上盐湾镇卫生院</t>
  </si>
  <si>
    <t>上盐湾镇郭家沟村卫生室</t>
  </si>
  <si>
    <t>上盐湾镇陈兴庄村卫生室</t>
  </si>
  <si>
    <t>小壕兔乡卫生院</t>
  </si>
  <si>
    <t>沙则汗村卫生室</t>
  </si>
  <si>
    <t>早留太村卫生室</t>
  </si>
  <si>
    <t>旋河村卫生室</t>
  </si>
  <si>
    <t>古塔镇余兴庄卫生院</t>
  </si>
  <si>
    <t>榆阳区古塔镇曹家洼村卫生室</t>
  </si>
  <si>
    <t>榆阳区古塔镇马家峁村卫生室</t>
  </si>
  <si>
    <t>芹河镇</t>
  </si>
  <si>
    <t>红墩村卫生室</t>
  </si>
  <si>
    <t>大河塔镇安崖卫生院</t>
  </si>
  <si>
    <t>大河塔镇黄家沟村卫生室2</t>
  </si>
  <si>
    <t>大河塔镇高沙峁村卫生室3</t>
  </si>
  <si>
    <t>大河塔镇刘岔村卫生室4</t>
  </si>
  <si>
    <t>大河塔镇鱼河湾村卫生室5</t>
  </si>
  <si>
    <t>大河塔镇沙舍科村卫生室6</t>
  </si>
  <si>
    <t>大河塔镇杨会塔村卫生室7</t>
  </si>
  <si>
    <t>大河塔镇稍沟村卫生室8</t>
  </si>
  <si>
    <t>大河塔镇卢家铺村卫生室9</t>
  </si>
  <si>
    <t>瓦窑沟村卫生室</t>
  </si>
  <si>
    <t>附件3</t>
  </si>
  <si>
    <t>2021年度药品零差率销售补助差异汇总表</t>
  </si>
  <si>
    <t>机构名称</t>
  </si>
  <si>
    <t>按文件测算应补助金额</t>
  </si>
  <si>
    <t>实际补助金额</t>
  </si>
  <si>
    <t>差异（“-”表示多补）</t>
  </si>
  <si>
    <t>考核扣减</t>
  </si>
  <si>
    <t>拨付金额</t>
  </si>
  <si>
    <t>村卫生室药品补助</t>
  </si>
  <si>
    <t>镇卫生院药品补助</t>
  </si>
  <si>
    <t>区妇幼保健院</t>
  </si>
  <si>
    <t>区中医院</t>
  </si>
  <si>
    <t>区人民医院</t>
  </si>
  <si>
    <t>星元医院</t>
  </si>
  <si>
    <t>青山路社区卫生服务中心</t>
  </si>
  <si>
    <t>驼峰路社区卫生服务中心</t>
  </si>
  <si>
    <t>鼓楼社区卫生服务中心</t>
  </si>
  <si>
    <t>航宇路社区卫生服务中心</t>
  </si>
  <si>
    <t>崇文路社区卫生服务中心</t>
  </si>
  <si>
    <t>新明楼社区卫生服务中心</t>
  </si>
  <si>
    <t>榆阳镇中心卫生院</t>
  </si>
  <si>
    <t>镇川镇中心卫生院</t>
  </si>
  <si>
    <t>孟家湾乡中心卫生院</t>
  </si>
  <si>
    <t>清泉镇中心卫生院</t>
  </si>
  <si>
    <t>岔河则乡中心卫生院</t>
  </si>
  <si>
    <t>鱼河峁镇卫生院</t>
  </si>
  <si>
    <t>余兴庄卫生院</t>
  </si>
  <si>
    <t>巴拉素镇中心卫生院</t>
  </si>
  <si>
    <t>安崖卫生院</t>
  </si>
  <si>
    <t>大河塔乡卫生院</t>
  </si>
  <si>
    <t>刘千河卫生院</t>
  </si>
  <si>
    <t>耳林卫生院</t>
  </si>
  <si>
    <t>芹河镇卫生院</t>
  </si>
  <si>
    <t>马合镇卫生院</t>
  </si>
  <si>
    <t>小纪汗镇卫生院</t>
  </si>
  <si>
    <t>补浪河乡卫生院</t>
  </si>
  <si>
    <t>说明：多补的109万中不包含星元医院超标准补助的350万元。</t>
  </si>
  <si>
    <t>村医/协管员补助标准不一致，村医补助的测算依据卫生健康局实际补助金额统计，未考虑漏补的情况。</t>
  </si>
  <si>
    <t>因卫生健康局未提供药品采购的审核数据，各级医疗机构补助测依据的药品采购金额均为各医疗机构的上报数</t>
  </si>
  <si>
    <t>附件3-1</t>
  </si>
  <si>
    <t>2021年度榆阳区下辖各村卫生室药品零差率销售补助测算表</t>
  </si>
  <si>
    <t>乡镇</t>
  </si>
  <si>
    <t>下辖村卫生室</t>
  </si>
  <si>
    <t>全年采购金额</t>
  </si>
  <si>
    <t>1万元以内</t>
  </si>
  <si>
    <t>1-2（含）万元</t>
  </si>
  <si>
    <t>2-4（含）万元</t>
  </si>
  <si>
    <t>4-6（含）万元</t>
  </si>
  <si>
    <t>6-10（含）万元</t>
  </si>
  <si>
    <t>10-15（含）万元</t>
  </si>
  <si>
    <t>15-20（含）万元</t>
  </si>
  <si>
    <t>20-30（含）万元</t>
  </si>
  <si>
    <t>30万元以上</t>
  </si>
  <si>
    <t>应补助小计</t>
  </si>
  <si>
    <t>实补金额</t>
  </si>
  <si>
    <t>差异（-表示多补）</t>
  </si>
  <si>
    <t>定额5万元</t>
  </si>
  <si>
    <t>补浪河乡卫生院（镇）</t>
  </si>
  <si>
    <t>蒿老兔村卫生室</t>
  </si>
  <si>
    <t>那泥滩村卫生室</t>
  </si>
  <si>
    <t>魏家峁村卫生室</t>
  </si>
  <si>
    <t>昌汗敖包村卫生室</t>
  </si>
  <si>
    <t>巴石壕村卫生室</t>
  </si>
  <si>
    <t>岔河则乡卫生院</t>
  </si>
  <si>
    <t>白河庙村卫生室</t>
  </si>
  <si>
    <t>什它汗村卫生室</t>
  </si>
  <si>
    <t>河口村卫生室</t>
  </si>
  <si>
    <t>石峁村卫生室</t>
  </si>
  <si>
    <t>灯炉滩村卫生室-纪</t>
  </si>
  <si>
    <t>灯炉滩村卫生室-郑</t>
  </si>
  <si>
    <t>排则湾村卫生室</t>
  </si>
  <si>
    <t>大河塔卫生院</t>
  </si>
  <si>
    <t>任庄则村卫生室</t>
  </si>
  <si>
    <t>杨家畔村卫生室</t>
  </si>
  <si>
    <t>牛圈沟村卫生室</t>
  </si>
  <si>
    <t>刘家沟村卫生室</t>
  </si>
  <si>
    <t>柴兴梁村卫生室</t>
  </si>
  <si>
    <t>香水村卫生室</t>
  </si>
  <si>
    <t>包兔村卫生室</t>
  </si>
  <si>
    <t>耳林村卫生室</t>
  </si>
  <si>
    <t>黄圪崂村卫生室</t>
  </si>
  <si>
    <t>罗硷村卫生室</t>
  </si>
  <si>
    <t>赵庄村卫生室</t>
  </si>
  <si>
    <t>松树峁村卫生室</t>
  </si>
  <si>
    <t>张大沟村卫生室</t>
  </si>
  <si>
    <t>石井村卫生室</t>
  </si>
  <si>
    <t>左界村</t>
  </si>
  <si>
    <t>油房湾村</t>
  </si>
  <si>
    <t>房梁村</t>
  </si>
  <si>
    <t>红石桥村</t>
  </si>
  <si>
    <t>达拉什村卫生室</t>
  </si>
  <si>
    <t>杨家滩第一村卫生室</t>
  </si>
  <si>
    <t>杨家滩第二村卫生室</t>
  </si>
  <si>
    <t>麻生圐圙村卫生室</t>
  </si>
  <si>
    <t>补兔村卫生室</t>
  </si>
  <si>
    <t>郝家伙场村卫生室</t>
  </si>
  <si>
    <t>东马合村卫生室</t>
  </si>
  <si>
    <t>西马合村卫生室</t>
  </si>
  <si>
    <t>补浪村卫生室</t>
  </si>
  <si>
    <t>转龙湾村卫生室（张润成）</t>
  </si>
  <si>
    <t>赵元湾村卫生室2（鱼小丽）</t>
  </si>
  <si>
    <t>赵元湾村卫生室1（蔺艳平）</t>
  </si>
  <si>
    <t>高家伙场村卫生室1（高金堂）</t>
  </si>
  <si>
    <t>高家伙场村卫生室2（高亚东）</t>
  </si>
  <si>
    <t>郭家伙场村卫生室1（郭金）</t>
  </si>
  <si>
    <t>什拉滩村卫生室（王海东）</t>
  </si>
  <si>
    <t>榆卜界村卫生室（王世军）</t>
  </si>
  <si>
    <t>城大圪堵村卫生室（黄先飞）</t>
  </si>
  <si>
    <t>谢家洼村卫生室1(刘锦成)</t>
  </si>
  <si>
    <t>谢家洼村卫生室2（谢东飞）</t>
  </si>
  <si>
    <t>大伙场村卫生室（李永东）</t>
  </si>
  <si>
    <t>边墙村卫生室（赵文斌）</t>
  </si>
  <si>
    <t>常乐堡村卫生室（高峰）</t>
  </si>
  <si>
    <t>牛家梁村卫生室（王凯）</t>
  </si>
  <si>
    <t>张滩村卫生室</t>
  </si>
  <si>
    <t>纪小滩村卫生室</t>
  </si>
  <si>
    <t>黄沙七墩村卫生室</t>
  </si>
  <si>
    <t>前湾滩村卫生室</t>
  </si>
  <si>
    <t>酸梨海则村卫生室</t>
  </si>
  <si>
    <t>水掌村卫生室</t>
  </si>
  <si>
    <t>蟒坑村卫生室</t>
  </si>
  <si>
    <t>谷地峁第二村卫生室</t>
  </si>
  <si>
    <t>谷地峁村中心卫生室</t>
  </si>
  <si>
    <t>长城则村卫生室</t>
  </si>
  <si>
    <t>天鹅海则村卫生室</t>
  </si>
  <si>
    <t>马家峁村卫生室</t>
  </si>
  <si>
    <t>鱼河村卫生室</t>
  </si>
  <si>
    <t>李家沟村卫生室</t>
  </si>
  <si>
    <t>米家园则村卫生室</t>
  </si>
  <si>
    <t>房家沟村卫生室</t>
  </si>
  <si>
    <t>高家洼村卫生室</t>
  </si>
  <si>
    <t>郑家沟村卫生室</t>
  </si>
  <si>
    <t>新建村卫生室</t>
  </si>
  <si>
    <t>农场村卫生室</t>
  </si>
  <si>
    <t>王沙洼村卫生室</t>
  </si>
  <si>
    <t>南沙村卫生室</t>
  </si>
  <si>
    <t>鱼河峁村卫生室</t>
  </si>
  <si>
    <t>东岔村卫生室</t>
  </si>
  <si>
    <t>董家湾村卫生室</t>
  </si>
  <si>
    <t>刘寨村卫生室</t>
  </si>
  <si>
    <t>白家沟村卫生室</t>
  </si>
  <si>
    <t>柏盖梁村卫生室</t>
  </si>
  <si>
    <t>黄崖窑村卫生室</t>
  </si>
  <si>
    <t>郭家湾村卫生室</t>
  </si>
  <si>
    <t>谢家峁村卫生室</t>
  </si>
  <si>
    <t>刘小沟村卫生室</t>
  </si>
  <si>
    <t>田园村卫生室</t>
  </si>
  <si>
    <t>唐峡沟村卫生室</t>
  </si>
  <si>
    <t>朱庄村卫生室</t>
  </si>
  <si>
    <t>小范地村卫生室</t>
  </si>
  <si>
    <t>桐条沟村卫生室</t>
  </si>
  <si>
    <t>高家峁村卫生室</t>
  </si>
  <si>
    <t>镇川镇卫生院</t>
  </si>
  <si>
    <t>高沙沟村卫生室</t>
  </si>
  <si>
    <t>侯渠村卫生室</t>
  </si>
  <si>
    <t>庙湾村卫生室</t>
  </si>
  <si>
    <t>刘家湾村卫生室</t>
  </si>
  <si>
    <t>南洼村卫生室</t>
  </si>
  <si>
    <t>东街村卫生室</t>
  </si>
  <si>
    <t>西街村卫生室</t>
  </si>
  <si>
    <t>寺沟村卫生室</t>
  </si>
  <si>
    <t>瓦岗寨村卫生室</t>
  </si>
  <si>
    <t>朱寨村卫生室</t>
  </si>
  <si>
    <t>高粱村卫生室</t>
  </si>
  <si>
    <t>杨庄村卫生室</t>
  </si>
  <si>
    <t>红柳滩村卫生室</t>
  </si>
  <si>
    <t>八塌湾村卫生室</t>
  </si>
  <si>
    <t>王岔村卫生室</t>
  </si>
  <si>
    <t>红花渠村卫生室</t>
  </si>
  <si>
    <t>巴拉素卫生院</t>
  </si>
  <si>
    <t>元大滩</t>
  </si>
  <si>
    <t>三场村</t>
  </si>
  <si>
    <t>讨忽兔</t>
  </si>
  <si>
    <t>小旭吕</t>
  </si>
  <si>
    <t>金鸡滩村</t>
  </si>
  <si>
    <t>白舍牛滩村</t>
  </si>
  <si>
    <t>上河村（张志林）</t>
  </si>
  <si>
    <t>上河村（王栓成）</t>
  </si>
  <si>
    <t>金海北村</t>
  </si>
  <si>
    <t>柳树滩村</t>
  </si>
  <si>
    <t>柳卜滩村</t>
  </si>
  <si>
    <t>喇嘛滩村</t>
  </si>
  <si>
    <t>青云镇刘千河卫生院</t>
  </si>
  <si>
    <t>果园塔村卫生室</t>
  </si>
  <si>
    <t>聚福梁村卫生室</t>
  </si>
  <si>
    <t>殷家墕村卫生室</t>
  </si>
  <si>
    <t>刘千河村卫生室</t>
  </si>
  <si>
    <t>丰  山村卫生室</t>
  </si>
  <si>
    <t>康家湾村卫生室</t>
  </si>
  <si>
    <t>李家崾村卫生室</t>
  </si>
  <si>
    <t>乐家畔村卫生室</t>
  </si>
  <si>
    <t>达连沟村卫生室</t>
  </si>
  <si>
    <t>王家湾村卫生室</t>
  </si>
  <si>
    <t>盘云界村卫生室</t>
  </si>
  <si>
    <t>十八墩村卫生室</t>
  </si>
  <si>
    <t>断桥村卫生室</t>
  </si>
  <si>
    <t>张虎沟村卫生室</t>
  </si>
  <si>
    <t>店坊村卫生室</t>
  </si>
  <si>
    <t>乔堡村卫生室</t>
  </si>
  <si>
    <t>双锁山村卫生室</t>
  </si>
  <si>
    <t>麻黄梁村卫生室</t>
  </si>
  <si>
    <t>钟家沟村卫生室（刘统华）</t>
  </si>
  <si>
    <t>钟家沟村卫生室（李芳娃）</t>
  </si>
  <si>
    <t>崔家畔村卫生室（柳建军）</t>
  </si>
  <si>
    <t>青云村卫生室（雷莹）</t>
  </si>
  <si>
    <t>宣沟村卫生室（彭文姝）</t>
  </si>
  <si>
    <t>跳沟村卫生室（张志升）</t>
  </si>
  <si>
    <t>刘家洼村卫生室（高翠芳）</t>
  </si>
  <si>
    <t>跳沟村卫生室（高峰）</t>
  </si>
  <si>
    <t>李家山村卫生室（郝翠玲）</t>
  </si>
  <si>
    <t>色草湾村卫生室（张英）</t>
  </si>
  <si>
    <t>南峁庄村卫生室（刘巧峰）</t>
  </si>
  <si>
    <t>刘家洼村卫生室（边国华）</t>
  </si>
  <si>
    <t>刘家洼村卫生室（尚文明）</t>
  </si>
  <si>
    <t>青云村卫生室（奚建兵）</t>
  </si>
  <si>
    <t>尤家湾村卫生室（王利飞）</t>
  </si>
  <si>
    <t>太平沟村卫生室（刘英）</t>
  </si>
  <si>
    <t>杜家沟村卫生室（尤静）</t>
  </si>
  <si>
    <t>郑家川村卫生室（高美霞）</t>
  </si>
  <si>
    <t>马家梁村卫生室</t>
  </si>
  <si>
    <t>王寨村卫生室</t>
  </si>
  <si>
    <t>新庄则村卫生室</t>
  </si>
  <si>
    <t>寇寨则村卫生室</t>
  </si>
  <si>
    <t>芦家沟村卫生室</t>
  </si>
  <si>
    <t>吴庄村卫生室</t>
  </si>
  <si>
    <t>赵家沟村卫生室</t>
  </si>
  <si>
    <t>崖窑畔村卫生室</t>
  </si>
  <si>
    <t>崔坪村卫生室</t>
  </si>
  <si>
    <t>上盐湾镇寨坬村卫生室</t>
  </si>
  <si>
    <t>上盐湾镇周家墕村卫生室</t>
  </si>
  <si>
    <t>上盐湾镇赵家畔村卫生室</t>
  </si>
  <si>
    <t>上盐湾镇党街则村卫生室</t>
  </si>
  <si>
    <t>上盐湾镇郭兴庄村卫生室</t>
  </si>
  <si>
    <t>上盐湾镇上盐湾村卫生室（石）</t>
  </si>
  <si>
    <t>上盐湾镇林家沟村卫生室</t>
  </si>
  <si>
    <t>上盐湾镇姬家坡村卫生室</t>
  </si>
  <si>
    <t>上盐湾镇碎金驿村卫生室</t>
  </si>
  <si>
    <t>上盐湾镇陈崖窑村卫生室</t>
  </si>
  <si>
    <t>小纪汗村卫生室</t>
  </si>
  <si>
    <t>长草滩村卫生室</t>
  </si>
  <si>
    <t>大纪汗村卫生室</t>
  </si>
  <si>
    <t>可可盖村卫生室</t>
  </si>
  <si>
    <t>昌汗峁村卫生室</t>
  </si>
  <si>
    <t>大海则村卫生室</t>
  </si>
  <si>
    <t>奔滩村卫生室</t>
  </si>
  <si>
    <t>波罗滩村卫生室</t>
  </si>
  <si>
    <t>昌汗界村卫生室</t>
  </si>
  <si>
    <t>黄土梁村卫生室</t>
  </si>
  <si>
    <t>井克梁村卫生室</t>
  </si>
  <si>
    <t>榆阳区古塔镇陈家沟村卫生室</t>
  </si>
  <si>
    <t>榆阳区古塔镇闫庄村卫生室</t>
  </si>
  <si>
    <t>榆阳区古塔镇王前畔村卫生室</t>
  </si>
  <si>
    <t>榆阳区古塔镇赵家峁村卫生室</t>
  </si>
  <si>
    <t>王家楼村-余文发</t>
  </si>
  <si>
    <t>吴家梁村-高建军</t>
  </si>
  <si>
    <t>榆阳东村-曹秀芳</t>
  </si>
  <si>
    <t>三岔湾第二室-张治军</t>
  </si>
  <si>
    <t>广济南村-张美丽</t>
  </si>
  <si>
    <t>永乐西村-许利平</t>
  </si>
  <si>
    <t>北岳庙村-尤萍</t>
  </si>
  <si>
    <t>金刚寺村-张艳妮</t>
  </si>
  <si>
    <t>王家楼村-思耀鹏</t>
  </si>
  <si>
    <t>新乐村-尤俊娥</t>
  </si>
  <si>
    <t>北岳庙村-张智国</t>
  </si>
  <si>
    <t>广榆村-白兵飞</t>
  </si>
  <si>
    <t>三岔湾村-刘利平</t>
  </si>
  <si>
    <t>流水沟村-李世军</t>
  </si>
  <si>
    <t>榆阳西村-白艳梅</t>
  </si>
  <si>
    <t>大河滩村-张树花</t>
  </si>
  <si>
    <t>金刚寺村-马广平</t>
  </si>
  <si>
    <t>兴叶村-王小静</t>
  </si>
  <si>
    <t>三岔湾村-蔺富伟</t>
  </si>
  <si>
    <t>麻地湾-房健</t>
  </si>
  <si>
    <t>王家楼村-杨瑞</t>
  </si>
  <si>
    <t>沙河村-纪国虎</t>
  </si>
  <si>
    <t>红山村-张永霞</t>
  </si>
  <si>
    <t>五雷沟村-高丽琦</t>
  </si>
  <si>
    <t>管井滩村-罗志平</t>
  </si>
  <si>
    <t>韦家楼村-陈利飞</t>
  </si>
  <si>
    <t>沙河口第二室-胡改美</t>
  </si>
  <si>
    <t>永乐东村-刘艳红</t>
  </si>
  <si>
    <t>沙河口村-卢红梅</t>
  </si>
  <si>
    <t>新乐村-谢雨珍</t>
  </si>
  <si>
    <t>南川村-王维</t>
  </si>
  <si>
    <t>流水沟村-朱莉莉</t>
  </si>
  <si>
    <t>广榆村-邵小宁</t>
  </si>
  <si>
    <t>书肯壕村</t>
  </si>
  <si>
    <t>三滩村</t>
  </si>
  <si>
    <t>四道河则村</t>
  </si>
  <si>
    <t>大圪堵村</t>
  </si>
  <si>
    <t>孟家湾村</t>
  </si>
  <si>
    <t>神树湾村</t>
  </si>
  <si>
    <t>板城滩村</t>
  </si>
  <si>
    <t>马场村</t>
  </si>
  <si>
    <t>马大滩村</t>
  </si>
  <si>
    <t>恍惚兔村</t>
  </si>
  <si>
    <t>波直汗</t>
  </si>
  <si>
    <t>野目盖村</t>
  </si>
  <si>
    <t>野目盖村第二村卫生室</t>
  </si>
  <si>
    <t>附件3-2</t>
  </si>
  <si>
    <t>2021年度榆阳区下辖一级医疗机构药品零差率销售补助测算表</t>
  </si>
  <si>
    <t>标准</t>
  </si>
  <si>
    <t>100万元以下</t>
  </si>
  <si>
    <t>100-200（含）万元</t>
  </si>
  <si>
    <t>200-400（含）万元</t>
  </si>
  <si>
    <t>400-600（含）万元</t>
  </si>
  <si>
    <t>600-1000（含）万元</t>
  </si>
  <si>
    <t>1000-1500（含）万元</t>
  </si>
  <si>
    <t>1500-2000（含）万元</t>
  </si>
  <si>
    <t>2000万元以上</t>
  </si>
  <si>
    <t>药品采购金额</t>
  </si>
  <si>
    <t>定额350万元</t>
  </si>
  <si>
    <t>青山路街道办事处社区卫生服务中心</t>
  </si>
  <si>
    <t>驼峰路街道办事处社区卫生服务中心</t>
  </si>
  <si>
    <t>鼓楼街道办事处社区卫生服务中心</t>
  </si>
  <si>
    <t>航宇路街道办事处社区卫生服务中心</t>
  </si>
  <si>
    <t>崇文路街道办事处社区卫生服务中心</t>
  </si>
  <si>
    <t>新明楼街道办事处社区卫生服务中心</t>
  </si>
  <si>
    <t>附件3-3</t>
  </si>
  <si>
    <t>2021年度榆阳区下辖二级及以上医疗机构药品零差率销售补助测算表</t>
  </si>
  <si>
    <t>1000万元以下</t>
  </si>
  <si>
    <t>2000-3000（含）万元</t>
  </si>
  <si>
    <t>3000-4000（含）万元</t>
  </si>
  <si>
    <t>4000-6000（含）万元</t>
  </si>
  <si>
    <t>6000万元以上</t>
  </si>
  <si>
    <t>补贴比例</t>
  </si>
  <si>
    <t>定额900万元</t>
  </si>
  <si>
    <t>妇幼保健院</t>
  </si>
  <si>
    <t>人民医院</t>
  </si>
  <si>
    <t>乡镇村卫生室</t>
  </si>
  <si>
    <t>上报金额</t>
  </si>
  <si>
    <t>台账金额</t>
  </si>
  <si>
    <t>差异</t>
  </si>
  <si>
    <t>巴拉素村卫生室</t>
  </si>
  <si>
    <t>马合镇村卫生室</t>
  </si>
  <si>
    <t>青云镇村卫生室</t>
  </si>
  <si>
    <t>榆阳镇村卫生室</t>
  </si>
  <si>
    <t>芹河镇村卫生室</t>
  </si>
  <si>
    <t>镇川镇卫生室</t>
  </si>
  <si>
    <t>村医数量</t>
  </si>
  <si>
    <t>补助数量</t>
  </si>
  <si>
    <t>未补助</t>
  </si>
  <si>
    <t>8个卫生室未采购</t>
  </si>
  <si>
    <t>4个卫生室未采购</t>
  </si>
  <si>
    <t>2个卫生室未采购</t>
  </si>
  <si>
    <t>合阳县重点水流域环境综合治理2020年中央预算内投资计划表           单位：万元</t>
  </si>
  <si>
    <t>项目
名称</t>
  </si>
  <si>
    <t>项目内容</t>
  </si>
  <si>
    <t>建设性质</t>
  </si>
  <si>
    <r>
      <rPr>
        <sz val="10"/>
        <rFont val="宋体"/>
        <charset val="134"/>
      </rPr>
      <t>建设规模</t>
    </r>
    <r>
      <rPr>
        <sz val="10"/>
        <rFont val="Arial"/>
        <charset val="134"/>
      </rPr>
      <t>(</t>
    </r>
    <r>
      <rPr>
        <sz val="10"/>
        <rFont val="宋体"/>
        <charset val="134"/>
      </rPr>
      <t>平方米）</t>
    </r>
  </si>
  <si>
    <t>年度建设
内容</t>
  </si>
  <si>
    <t>拟开工
年份</t>
  </si>
  <si>
    <t>拟建成
年份</t>
  </si>
  <si>
    <t>投资类别</t>
  </si>
  <si>
    <t>总投资</t>
  </si>
  <si>
    <t>本次下达
投资计划</t>
  </si>
  <si>
    <t>项目（法人）单位及项目责任人</t>
  </si>
  <si>
    <t>日常监督直接责任单位及监管责任人</t>
  </si>
  <si>
    <t>各注</t>
  </si>
  <si>
    <t>合阳县金水河支沟区域生态修复综合治理工程项目</t>
  </si>
  <si>
    <t>河道生态加固、生态湿地工程、绿色步道</t>
  </si>
  <si>
    <t>新建</t>
  </si>
  <si>
    <r>
      <rPr>
        <sz val="10"/>
        <rFont val="宋体"/>
        <charset val="134"/>
      </rPr>
      <t>污水管网</t>
    </r>
    <r>
      <rPr>
        <sz val="10"/>
        <rFont val="Arial"/>
        <charset val="134"/>
      </rPr>
      <t>7.502</t>
    </r>
    <r>
      <rPr>
        <sz val="10"/>
        <rFont val="宋体"/>
        <charset val="134"/>
      </rPr>
      <t>公里、生态护岸</t>
    </r>
    <r>
      <rPr>
        <sz val="10"/>
        <rFont val="Arial"/>
        <charset val="134"/>
      </rPr>
      <t>4.07</t>
    </r>
    <r>
      <rPr>
        <sz val="10"/>
        <rFont val="宋体"/>
        <charset val="134"/>
      </rPr>
      <t>公里，人工湿地</t>
    </r>
    <r>
      <rPr>
        <sz val="10"/>
        <rFont val="Arial"/>
        <charset val="134"/>
      </rPr>
      <t xml:space="preserve"> 0.023</t>
    </r>
    <r>
      <rPr>
        <sz val="10"/>
        <rFont val="宋体"/>
        <charset val="134"/>
      </rPr>
      <t>平方公里。</t>
    </r>
  </si>
  <si>
    <t>土建施工、工程建设。</t>
  </si>
  <si>
    <t>2020</t>
  </si>
  <si>
    <t>2021</t>
  </si>
  <si>
    <r>
      <rPr>
        <sz val="10"/>
        <rFont val="宋体"/>
        <charset val="134"/>
      </rPr>
      <t>合阳县城</t>
    </r>
    <r>
      <rPr>
        <sz val="10"/>
        <rFont val="Arial"/>
        <charset val="134"/>
      </rPr>
      <t xml:space="preserve">
</t>
    </r>
    <r>
      <rPr>
        <sz val="10"/>
        <rFont val="宋体"/>
        <charset val="134"/>
      </rPr>
      <t>市建设投</t>
    </r>
    <r>
      <rPr>
        <sz val="10"/>
        <rFont val="Arial"/>
        <charset val="134"/>
      </rPr>
      <t xml:space="preserve">
</t>
    </r>
    <r>
      <rPr>
        <sz val="10"/>
        <rFont val="宋体"/>
        <charset val="134"/>
      </rPr>
      <t>资有限公</t>
    </r>
    <r>
      <rPr>
        <sz val="10"/>
        <rFont val="Arial"/>
        <charset val="134"/>
      </rPr>
      <t xml:space="preserve">
</t>
    </r>
    <r>
      <rPr>
        <sz val="10"/>
        <rFont val="宋体"/>
        <charset val="134"/>
      </rPr>
      <t>司一雷兴</t>
    </r>
  </si>
  <si>
    <t>合阳县发改局一李小锋</t>
  </si>
  <si>
    <t>中央预算
内投资</t>
  </si>
  <si>
    <t>地方投资</t>
  </si>
  <si>
    <t>其他资金</t>
  </si>
  <si>
    <t>合阳县金水河支沟区域生态修复综合治理工程</t>
  </si>
  <si>
    <t>文号</t>
  </si>
  <si>
    <t>时间</t>
  </si>
  <si>
    <t>金额(万元)</t>
  </si>
  <si>
    <t>单位</t>
  </si>
  <si>
    <t>合财办预[2020]288号</t>
  </si>
  <si>
    <t>合阳县住房和城乡建设局</t>
  </si>
  <si>
    <t>记账凭证、业务回单（付款）、收款收据</t>
  </si>
  <si>
    <t>2020年小计</t>
  </si>
  <si>
    <t>未收集</t>
  </si>
  <si>
    <t>合阳县金水河支沟区域生态修复综合治理工程资金使用明细表（万元）</t>
  </si>
  <si>
    <t>施工单位</t>
  </si>
  <si>
    <t>合同金额</t>
  </si>
  <si>
    <t>支付时间</t>
  </si>
  <si>
    <t>支付金额</t>
  </si>
  <si>
    <t>陕西旭昇建筑安装工程有限公司</t>
  </si>
  <si>
    <t>小计</t>
  </si>
  <si>
    <t>项目名称</t>
  </si>
  <si>
    <t>项目批复工程内容</t>
  </si>
  <si>
    <t>合同内容</t>
  </si>
  <si>
    <t>合同单位单位</t>
  </si>
  <si>
    <t>预算审定金额</t>
  </si>
  <si>
    <t>2020年11月30日累计完成造价</t>
  </si>
  <si>
    <t>占比(%)</t>
  </si>
  <si>
    <t>2021年9月5日累计完成造价</t>
  </si>
  <si>
    <t>水毁情况</t>
  </si>
  <si>
    <t>截污渠生态加固工程、生态湿地工程、绿色步道工程一级配套的停车场、车行桥、入口广场和休闲设施等</t>
  </si>
  <si>
    <t>施工内容：金水河支沟区域生态修复工程，工程全长2035米，主要建设内容包括河道生态加固工程、生态湿地工程、绿色步行等道</t>
  </si>
  <si>
    <t>陕西旭昇建筑安装工程有限公司（中标）</t>
  </si>
  <si>
    <t>太阳能路灯、部分绿化、部分景观、桥梁因位置发生变化暂不施工</t>
  </si>
  <si>
    <t>河道两侧山体滑坡、除挡水堰外，其余均受到不同程度损毁</t>
  </si>
  <si>
    <t>水利工程监理</t>
  </si>
  <si>
    <t>渭南市恒祥工程监理咨询有限公司</t>
  </si>
  <si>
    <t>项目水土保持初步设计方案、监理、检测和验收备案的相关工作</t>
  </si>
  <si>
    <t>陕西中环明睿环境科技有限公司</t>
  </si>
  <si>
    <t>租用土地</t>
  </si>
  <si>
    <t>西街村委会</t>
  </si>
  <si>
    <t>雷家洼社区中原头村</t>
  </si>
  <si>
    <t>1.6万元/年</t>
  </si>
  <si>
    <t>雷家洼社区堡崖村</t>
  </si>
  <si>
    <t>5.448万元/年</t>
  </si>
  <si>
    <t>地形地貌勘测定界及相关技术服务</t>
  </si>
  <si>
    <t>陕西恒达土地测绘有限公司</t>
  </si>
  <si>
    <t>工程造价咨询</t>
  </si>
  <si>
    <t>锐驰项目管理有限公司</t>
  </si>
  <si>
    <t>按规定费率</t>
  </si>
  <si>
    <t>工程测量</t>
  </si>
  <si>
    <t>陕西中量测绘技术有限公司</t>
  </si>
  <si>
    <t>工程勘察</t>
  </si>
  <si>
    <t>陕西交通公路设计研究院有限公司</t>
  </si>
  <si>
    <t>合同价</t>
  </si>
  <si>
    <t>施工单位已完成</t>
  </si>
  <si>
    <t>完工进度</t>
  </si>
  <si>
    <t>河道水利工程</t>
  </si>
  <si>
    <t>金水沟桥工程</t>
  </si>
  <si>
    <t>道路工程</t>
  </si>
  <si>
    <t>景观工程</t>
  </si>
  <si>
    <t>绿化工程</t>
  </si>
  <si>
    <t>预留</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</si>
</sst>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0000_ "/>
  </numFmts>
  <fonts count="40">
    <font>
      <sz val="11"/>
      <color theme="1"/>
      <name val="宋体"/>
      <charset val="134"/>
      <scheme val="minor"/>
    </font>
    <font>
      <sz val="12"/>
      <color theme="1"/>
      <name val="宋体"/>
      <charset val="134"/>
    </font>
    <font>
      <b/>
      <sz val="11"/>
      <color theme="1"/>
      <name val="宋体"/>
      <charset val="134"/>
      <scheme val="minor"/>
    </font>
    <font>
      <sz val="10"/>
      <name val="Arial"/>
      <charset val="134"/>
    </font>
    <font>
      <sz val="10"/>
      <name val="宋体"/>
      <charset val="134"/>
    </font>
    <font>
      <sz val="18"/>
      <color theme="1"/>
      <name val="宋体"/>
      <charset val="134"/>
      <scheme val="minor"/>
    </font>
    <font>
      <sz val="20"/>
      <color theme="1"/>
      <name val="宋体"/>
      <charset val="134"/>
      <scheme val="minor"/>
    </font>
    <font>
      <sz val="9"/>
      <color theme="1"/>
      <name val="宋体"/>
      <charset val="134"/>
      <scheme val="minor"/>
    </font>
    <font>
      <b/>
      <sz val="9"/>
      <color theme="1"/>
      <name val="宋体"/>
      <charset val="134"/>
      <scheme val="minor"/>
    </font>
    <font>
      <sz val="12"/>
      <color theme="1"/>
      <name val="宋体"/>
      <charset val="134"/>
      <scheme val="minor"/>
    </font>
    <font>
      <sz val="11"/>
      <color rgb="FF000000"/>
      <name val="宋体"/>
      <charset val="134"/>
    </font>
    <font>
      <sz val="16"/>
      <color theme="1"/>
      <name val="宋体"/>
      <charset val="134"/>
      <scheme val="minor"/>
    </font>
    <font>
      <sz val="12"/>
      <name val="宋体"/>
      <charset val="134"/>
      <scheme val="minor"/>
    </font>
    <font>
      <sz val="11"/>
      <name val="宋体"/>
      <charset val="134"/>
      <scheme val="minor"/>
    </font>
    <font>
      <sz val="10"/>
      <name val="宋体"/>
      <charset val="134"/>
      <scheme val="minor"/>
    </font>
    <font>
      <b/>
      <sz val="16"/>
      <name val="宋体"/>
      <charset val="134"/>
      <scheme val="minor"/>
    </font>
    <font>
      <sz val="11"/>
      <color rgb="FF000000"/>
      <name val="宋体"/>
      <charset val="134"/>
      <scheme val="minor"/>
    </font>
    <font>
      <b/>
      <sz val="11"/>
      <name val="宋体"/>
      <charset val="134"/>
      <scheme val="minor"/>
    </font>
    <font>
      <sz val="16"/>
      <color theme="1"/>
      <name val="仿宋"/>
      <charset val="134"/>
    </font>
    <font>
      <sz val="16"/>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3" borderId="0" applyNumberFormat="0" applyBorder="0" applyAlignment="0" applyProtection="0">
      <alignment vertical="center"/>
    </xf>
    <xf numFmtId="0" fontId="21"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5" borderId="0" applyNumberFormat="0" applyBorder="0" applyAlignment="0" applyProtection="0">
      <alignment vertical="center"/>
    </xf>
    <xf numFmtId="0" fontId="22" fillId="6" borderId="0" applyNumberFormat="0" applyBorder="0" applyAlignment="0" applyProtection="0">
      <alignment vertical="center"/>
    </xf>
    <xf numFmtId="43" fontId="0" fillId="0" borderId="0" applyFont="0" applyFill="0" applyBorder="0" applyAlignment="0" applyProtection="0">
      <alignment vertical="center"/>
    </xf>
    <xf numFmtId="0" fontId="23" fillId="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8" borderId="8" applyNumberFormat="0" applyFont="0" applyAlignment="0" applyProtection="0">
      <alignment vertical="center"/>
    </xf>
    <xf numFmtId="0" fontId="23" fillId="9"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9" applyNumberFormat="0" applyFill="0" applyAlignment="0" applyProtection="0">
      <alignment vertical="center"/>
    </xf>
    <xf numFmtId="0" fontId="31" fillId="0" borderId="9" applyNumberFormat="0" applyFill="0" applyAlignment="0" applyProtection="0">
      <alignment vertical="center"/>
    </xf>
    <xf numFmtId="0" fontId="23" fillId="10" borderId="0" applyNumberFormat="0" applyBorder="0" applyAlignment="0" applyProtection="0">
      <alignment vertical="center"/>
    </xf>
    <xf numFmtId="0" fontId="26" fillId="0" borderId="10" applyNumberFormat="0" applyFill="0" applyAlignment="0" applyProtection="0">
      <alignment vertical="center"/>
    </xf>
    <xf numFmtId="0" fontId="23" fillId="11" borderId="0" applyNumberFormat="0" applyBorder="0" applyAlignment="0" applyProtection="0">
      <alignment vertical="center"/>
    </xf>
    <xf numFmtId="0" fontId="32" fillId="12" borderId="11" applyNumberFormat="0" applyAlignment="0" applyProtection="0">
      <alignment vertical="center"/>
    </xf>
    <xf numFmtId="0" fontId="33" fillId="12" borderId="7" applyNumberFormat="0" applyAlignment="0" applyProtection="0">
      <alignment vertical="center"/>
    </xf>
    <xf numFmtId="0" fontId="34" fillId="13" borderId="12" applyNumberFormat="0" applyAlignment="0" applyProtection="0">
      <alignment vertical="center"/>
    </xf>
    <xf numFmtId="0" fontId="20" fillId="14" borderId="0" applyNumberFormat="0" applyBorder="0" applyAlignment="0" applyProtection="0">
      <alignment vertical="center"/>
    </xf>
    <xf numFmtId="0" fontId="23" fillId="15" borderId="0" applyNumberFormat="0" applyBorder="0" applyAlignment="0" applyProtection="0">
      <alignment vertical="center"/>
    </xf>
    <xf numFmtId="0" fontId="35" fillId="0" borderId="13" applyNumberFormat="0" applyFill="0" applyAlignment="0" applyProtection="0">
      <alignment vertical="center"/>
    </xf>
    <xf numFmtId="0" fontId="36" fillId="0" borderId="14" applyNumberFormat="0" applyFill="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20" fillId="18" borderId="0" applyNumberFormat="0" applyBorder="0" applyAlignment="0" applyProtection="0">
      <alignment vertical="center"/>
    </xf>
    <xf numFmtId="0" fontId="2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3" fillId="28" borderId="0" applyNumberFormat="0" applyBorder="0" applyAlignment="0" applyProtection="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0" fillId="32" borderId="0" applyNumberFormat="0" applyBorder="0" applyAlignment="0" applyProtection="0">
      <alignment vertical="center"/>
    </xf>
    <xf numFmtId="0" fontId="23" fillId="33" borderId="0" applyNumberFormat="0" applyBorder="0" applyAlignment="0" applyProtection="0">
      <alignment vertical="center"/>
    </xf>
    <xf numFmtId="0" fontId="39" fillId="0" borderId="0">
      <alignment vertical="center"/>
    </xf>
  </cellStyleXfs>
  <cellXfs count="154">
    <xf numFmtId="0" fontId="0" fillId="0" borderId="0" xfId="0">
      <alignment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43" fontId="1" fillId="0" borderId="1" xfId="8" applyFont="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43" fontId="1" fillId="0" borderId="1" xfId="8" applyFont="1" applyBorder="1" applyAlignment="1">
      <alignment horizontal="center" vertical="center" wrapText="1"/>
    </xf>
    <xf numFmtId="176" fontId="0" fillId="0" borderId="0" xfId="0" applyNumberFormat="1">
      <alignment vertical="center"/>
    </xf>
    <xf numFmtId="0" fontId="0" fillId="0" borderId="0" xfId="0" applyAlignment="1">
      <alignment vertical="center" wrapText="1"/>
    </xf>
    <xf numFmtId="0" fontId="0" fillId="0" borderId="0" xfId="0" applyFont="1" applyAlignment="1">
      <alignment vertical="center" wrapText="1"/>
    </xf>
    <xf numFmtId="10" fontId="0" fillId="0" borderId="0" xfId="11" applyNumberFormat="1" applyFont="1">
      <alignment vertical="center"/>
    </xf>
    <xf numFmtId="0" fontId="0" fillId="0" borderId="1" xfId="0" applyBorder="1">
      <alignment vertical="center"/>
    </xf>
    <xf numFmtId="0" fontId="0" fillId="0" borderId="1" xfId="0" applyBorder="1" applyAlignment="1">
      <alignment horizontal="center" vertical="center" wrapText="1"/>
    </xf>
    <xf numFmtId="0" fontId="0" fillId="0" borderId="1" xfId="0" applyBorder="1" applyAlignment="1">
      <alignment horizontal="right" vertical="center"/>
    </xf>
    <xf numFmtId="14" fontId="0" fillId="0" borderId="1" xfId="0" applyNumberFormat="1" applyBorder="1" applyAlignment="1">
      <alignment horizontal="center" vertical="center"/>
    </xf>
    <xf numFmtId="43" fontId="0" fillId="0" borderId="1" xfId="0" applyNumberFormat="1" applyBorder="1" applyAlignment="1">
      <alignment horizontal="center" vertical="center"/>
    </xf>
    <xf numFmtId="43" fontId="0" fillId="2" borderId="1" xfId="0" applyNumberFormat="1" applyFill="1" applyBorder="1" applyAlignment="1">
      <alignment horizontal="center" vertical="center"/>
    </xf>
    <xf numFmtId="14" fontId="0" fillId="0" borderId="0" xfId="0" applyNumberFormat="1">
      <alignment vertical="center"/>
    </xf>
    <xf numFmtId="176" fontId="0" fillId="2" borderId="0" xfId="0" applyNumberFormat="1" applyFill="1">
      <alignment vertical="center"/>
    </xf>
    <xf numFmtId="43" fontId="0" fillId="0" borderId="0" xfId="0" applyNumberFormat="1">
      <alignment vertical="center"/>
    </xf>
    <xf numFmtId="0" fontId="0" fillId="0" borderId="1" xfId="0" applyBorder="1" applyAlignment="1">
      <alignmen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wrapText="1"/>
    </xf>
    <xf numFmtId="43" fontId="0" fillId="0" borderId="1" xfId="0" applyNumberFormat="1" applyBorder="1" applyAlignment="1">
      <alignment horizontal="center" vertical="center" wrapText="1"/>
    </xf>
    <xf numFmtId="14"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horizontal="center" vertical="center"/>
    </xf>
    <xf numFmtId="0" fontId="3" fillId="0" borderId="1"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4"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3" fillId="2" borderId="1" xfId="0" applyNumberFormat="1" applyFont="1" applyFill="1" applyBorder="1" applyAlignment="1" applyProtection="1">
      <alignment vertical="center" wrapText="1"/>
    </xf>
    <xf numFmtId="176" fontId="0" fillId="0" borderId="1" xfId="0" applyNumberFormat="1" applyBorder="1" applyAlignment="1">
      <alignment horizontal="center" vertical="center"/>
    </xf>
    <xf numFmtId="176" fontId="0" fillId="0" borderId="1" xfId="0" applyNumberFormat="1" applyBorder="1">
      <alignment vertical="center"/>
    </xf>
    <xf numFmtId="0" fontId="2" fillId="0" borderId="1" xfId="0" applyFont="1" applyBorder="1" applyAlignment="1">
      <alignment horizontal="center" vertical="center" wrapText="1"/>
    </xf>
    <xf numFmtId="176" fontId="0" fillId="0" borderId="1" xfId="0" applyNumberFormat="1" applyBorder="1" applyAlignment="1">
      <alignment horizontal="center" vertical="center" wrapText="1"/>
    </xf>
    <xf numFmtId="176" fontId="0" fillId="0" borderId="1" xfId="0" applyNumberFormat="1" applyBorder="1" applyAlignment="1">
      <alignment horizontal="right" vertical="center"/>
    </xf>
    <xf numFmtId="0" fontId="5" fillId="0" borderId="0" xfId="0" applyFont="1" applyAlignment="1">
      <alignment horizontal="centerContinuous" vertical="center"/>
    </xf>
    <xf numFmtId="0" fontId="0" fillId="0" borderId="2" xfId="0" applyBorder="1" applyAlignment="1">
      <alignment horizontal="center" vertical="center"/>
    </xf>
    <xf numFmtId="0" fontId="0" fillId="0" borderId="4" xfId="0" applyBorder="1" applyAlignment="1">
      <alignment horizontal="center" vertical="center"/>
    </xf>
    <xf numFmtId="9" fontId="0" fillId="0" borderId="1" xfId="0" applyNumberFormat="1" applyBorder="1" applyAlignment="1">
      <alignment horizontal="center" vertical="center"/>
    </xf>
    <xf numFmtId="177" fontId="0" fillId="0" borderId="1" xfId="0" applyNumberFormat="1" applyBorder="1">
      <alignment vertical="center"/>
    </xf>
    <xf numFmtId="0" fontId="0" fillId="0" borderId="5" xfId="0" applyBorder="1">
      <alignment vertical="center"/>
    </xf>
    <xf numFmtId="0" fontId="0" fillId="0" borderId="0" xfId="0" applyFont="1" applyAlignment="1">
      <alignment horizontal="centerContinuous" vertical="center"/>
    </xf>
    <xf numFmtId="0" fontId="0" fillId="0" borderId="0" xfId="0" applyFill="1">
      <alignment vertical="center"/>
    </xf>
    <xf numFmtId="176" fontId="0" fillId="0" borderId="0" xfId="0" applyNumberFormat="1" applyFill="1">
      <alignment vertical="center"/>
    </xf>
    <xf numFmtId="0" fontId="6" fillId="0" borderId="0" xfId="0" applyFont="1" applyAlignment="1">
      <alignment horizontal="centerContinuous" vertical="center"/>
    </xf>
    <xf numFmtId="176" fontId="6" fillId="0" borderId="0" xfId="0" applyNumberFormat="1" applyFont="1" applyFill="1" applyAlignment="1">
      <alignment horizontal="centerContinuous" vertical="center"/>
    </xf>
    <xf numFmtId="176" fontId="0" fillId="0" borderId="1" xfId="0" applyNumberFormat="1" applyFill="1" applyBorder="1" applyAlignment="1">
      <alignment horizontal="center" vertical="center"/>
    </xf>
    <xf numFmtId="176" fontId="0" fillId="0" borderId="1" xfId="0" applyNumberFormat="1" applyFill="1" applyBorder="1" applyAlignment="1">
      <alignment horizontal="center" vertical="center" wrapText="1"/>
    </xf>
    <xf numFmtId="176" fontId="0" fillId="0" borderId="5" xfId="0" applyNumberFormat="1" applyBorder="1">
      <alignment vertical="center"/>
    </xf>
    <xf numFmtId="176" fontId="0" fillId="0" borderId="4" xfId="0" applyNumberFormat="1" applyBorder="1">
      <alignment vertical="center"/>
    </xf>
    <xf numFmtId="0" fontId="0" fillId="0" borderId="1" xfId="0" applyFill="1" applyBorder="1">
      <alignment vertical="center"/>
    </xf>
    <xf numFmtId="176" fontId="0" fillId="0" borderId="1" xfId="0" applyNumberFormat="1" applyFill="1" applyBorder="1">
      <alignment vertical="center"/>
    </xf>
    <xf numFmtId="176" fontId="6" fillId="0" borderId="0" xfId="0" applyNumberFormat="1" applyFont="1" applyAlignment="1">
      <alignment horizontal="centerContinuous" vertical="center"/>
    </xf>
    <xf numFmtId="176" fontId="0" fillId="0" borderId="0" xfId="0" applyNumberFormat="1" applyFont="1" applyAlignment="1">
      <alignment horizontal="centerContinuous" vertical="center"/>
    </xf>
    <xf numFmtId="0" fontId="7" fillId="0" borderId="0" xfId="0" applyFont="1">
      <alignment vertical="center"/>
    </xf>
    <xf numFmtId="0" fontId="7" fillId="0" borderId="0" xfId="0" applyFont="1">
      <alignment vertical="center"/>
    </xf>
    <xf numFmtId="0" fontId="5" fillId="0" borderId="0" xfId="0" applyFont="1" applyAlignment="1">
      <alignment horizontal="centerContinuous" vertical="center" wrapText="1"/>
    </xf>
    <xf numFmtId="176" fontId="5" fillId="0" borderId="0" xfId="0" applyNumberFormat="1" applyFont="1" applyAlignment="1">
      <alignment horizontal="centerContinuous" vertical="center"/>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176" fontId="7" fillId="0" borderId="2"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176" fontId="7" fillId="0" borderId="4" xfId="0" applyNumberFormat="1" applyFont="1" applyBorder="1" applyAlignment="1">
      <alignment horizontal="center" vertical="center" wrapText="1"/>
    </xf>
    <xf numFmtId="9" fontId="7" fillId="0" borderId="2" xfId="0" applyNumberFormat="1" applyFont="1" applyBorder="1" applyAlignment="1">
      <alignment horizontal="center" vertical="center"/>
    </xf>
    <xf numFmtId="0" fontId="7" fillId="0" borderId="1" xfId="0" applyFont="1" applyBorder="1" applyAlignment="1">
      <alignment horizontal="center" vertical="center"/>
    </xf>
    <xf numFmtId="0" fontId="8" fillId="0" borderId="2" xfId="0" applyFont="1" applyBorder="1" applyAlignment="1">
      <alignment horizontal="center" vertical="center" wrapText="1"/>
    </xf>
    <xf numFmtId="176" fontId="7" fillId="0" borderId="1" xfId="0" applyNumberFormat="1" applyFont="1" applyBorder="1" applyAlignment="1">
      <alignment horizontal="center" vertical="center" wrapText="1"/>
    </xf>
    <xf numFmtId="176" fontId="7" fillId="0" borderId="1" xfId="0" applyNumberFormat="1" applyFont="1" applyBorder="1">
      <alignment vertical="center"/>
    </xf>
    <xf numFmtId="0" fontId="8" fillId="0" borderId="3" xfId="0" applyFont="1" applyBorder="1" applyAlignment="1">
      <alignment horizontal="center" vertical="center" wrapText="1"/>
    </xf>
    <xf numFmtId="178" fontId="7" fillId="0" borderId="1" xfId="0" applyNumberFormat="1" applyFont="1" applyBorder="1">
      <alignment vertical="center"/>
    </xf>
    <xf numFmtId="0" fontId="8" fillId="0" borderId="4" xfId="0" applyFont="1" applyBorder="1" applyAlignment="1">
      <alignment horizontal="center" vertical="center" wrapText="1"/>
    </xf>
    <xf numFmtId="176"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76" fontId="7" fillId="0" borderId="1" xfId="0" applyNumberFormat="1" applyFont="1" applyBorder="1" applyAlignment="1">
      <alignment horizontal="right" vertical="center"/>
    </xf>
    <xf numFmtId="0" fontId="7" fillId="0" borderId="0" xfId="0" applyFont="1" applyAlignment="1">
      <alignment horizontal="centerContinuous" vertical="center"/>
    </xf>
    <xf numFmtId="0" fontId="7" fillId="0" borderId="1" xfId="0" applyFont="1" applyBorder="1">
      <alignment vertical="center"/>
    </xf>
    <xf numFmtId="177" fontId="7" fillId="0" borderId="1" xfId="0" applyNumberFormat="1" applyFont="1" applyBorder="1">
      <alignment vertical="center"/>
    </xf>
    <xf numFmtId="177" fontId="7" fillId="0" borderId="1" xfId="0" applyNumberFormat="1" applyFont="1" applyBorder="1">
      <alignment vertical="center"/>
    </xf>
    <xf numFmtId="176" fontId="8" fillId="0" borderId="1" xfId="0" applyNumberFormat="1" applyFont="1" applyBorder="1">
      <alignment vertical="center"/>
    </xf>
    <xf numFmtId="177" fontId="7" fillId="0" borderId="0" xfId="0" applyNumberFormat="1" applyFont="1">
      <alignment vertical="center"/>
    </xf>
    <xf numFmtId="0" fontId="7" fillId="0" borderId="4" xfId="0" applyFont="1" applyBorder="1" applyAlignment="1">
      <alignment vertical="center" wrapText="1"/>
    </xf>
    <xf numFmtId="0" fontId="7" fillId="0" borderId="1" xfId="0" applyFont="1" applyBorder="1">
      <alignment vertical="center"/>
    </xf>
    <xf numFmtId="0" fontId="7" fillId="0" borderId="1" xfId="0" applyFont="1" applyBorder="1" applyAlignment="1">
      <alignment vertical="center" wrapText="1"/>
    </xf>
    <xf numFmtId="0" fontId="0" fillId="0" borderId="0" xfId="0" applyBorder="1">
      <alignment vertical="center"/>
    </xf>
    <xf numFmtId="0" fontId="0" fillId="0" borderId="0" xfId="0" applyFont="1">
      <alignment vertical="center"/>
    </xf>
    <xf numFmtId="0" fontId="9" fillId="0" borderId="0" xfId="0" applyFont="1">
      <alignment vertical="center"/>
    </xf>
    <xf numFmtId="0" fontId="5" fillId="0" borderId="0" xfId="0" applyFont="1" applyFill="1" applyAlignment="1">
      <alignment horizontal="centerContinuous" vertical="center"/>
    </xf>
    <xf numFmtId="0" fontId="0" fillId="0" borderId="2" xfId="0" applyFont="1" applyBorder="1" applyAlignment="1">
      <alignment horizontal="center" vertical="center"/>
    </xf>
    <xf numFmtId="0" fontId="0" fillId="0" borderId="1" xfId="0" applyFont="1" applyBorder="1" applyAlignment="1">
      <alignment horizontal="center" vertical="center" wrapText="1"/>
    </xf>
    <xf numFmtId="176"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Border="1" applyAlignment="1">
      <alignment horizontal="center" vertical="center"/>
    </xf>
    <xf numFmtId="0" fontId="0" fillId="0" borderId="4" xfId="0" applyFont="1" applyFill="1" applyBorder="1" applyAlignment="1">
      <alignment horizontal="center" vertical="center" wrapText="1"/>
    </xf>
    <xf numFmtId="0" fontId="10" fillId="0" borderId="1" xfId="0" applyFont="1" applyBorder="1" applyAlignment="1">
      <alignment horizontal="left" vertical="center" wrapText="1"/>
    </xf>
    <xf numFmtId="177" fontId="0" fillId="0" borderId="1" xfId="0" applyNumberFormat="1" applyFill="1" applyBorder="1">
      <alignment vertical="center"/>
    </xf>
    <xf numFmtId="0" fontId="0" fillId="0" borderId="1" xfId="0" applyFill="1" applyBorder="1" applyAlignment="1">
      <alignment horizontal="center" vertical="center"/>
    </xf>
    <xf numFmtId="0" fontId="10" fillId="0" borderId="1" xfId="0" applyFont="1" applyFill="1" applyBorder="1" applyAlignment="1">
      <alignment horizontal="left" vertical="center" wrapText="1"/>
    </xf>
    <xf numFmtId="0" fontId="0" fillId="0" borderId="1" xfId="0" applyBorder="1">
      <alignment vertical="center"/>
    </xf>
    <xf numFmtId="0" fontId="0" fillId="0" borderId="1" xfId="0" applyBorder="1" applyAlignment="1">
      <alignment horizontal="center" vertical="center"/>
    </xf>
    <xf numFmtId="176" fontId="0" fillId="0" borderId="1" xfId="0" applyNumberFormat="1" applyFill="1" applyBorder="1">
      <alignment vertical="center"/>
    </xf>
    <xf numFmtId="0" fontId="0" fillId="0" borderId="0" xfId="0" applyFont="1" applyFill="1" applyAlignment="1">
      <alignment horizontal="centerContinuous" vertical="center"/>
    </xf>
    <xf numFmtId="0" fontId="11" fillId="0" borderId="0" xfId="0" applyFont="1" applyFill="1" applyAlignment="1">
      <alignment horizontal="centerContinuous"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176" fontId="0" fillId="0" borderId="1" xfId="0" applyNumberFormat="1" applyFont="1" applyFill="1" applyBorder="1" applyAlignment="1">
      <alignment horizontal="center" vertical="center"/>
    </xf>
    <xf numFmtId="0" fontId="0" fillId="0" borderId="1" xfId="0" applyFont="1" applyFill="1" applyBorder="1" applyAlignment="1">
      <alignment vertical="center"/>
    </xf>
    <xf numFmtId="0" fontId="0" fillId="0" borderId="4" xfId="0" applyFont="1" applyFill="1" applyBorder="1" applyAlignment="1">
      <alignment horizontal="center" vertical="center"/>
    </xf>
    <xf numFmtId="176" fontId="0" fillId="0" borderId="1"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12" fillId="0" borderId="0" xfId="0" applyFont="1" applyFill="1" applyAlignment="1">
      <alignment vertical="center"/>
    </xf>
    <xf numFmtId="0" fontId="13" fillId="0" borderId="0" xfId="49" applyFont="1" applyFill="1">
      <alignment vertical="center"/>
    </xf>
    <xf numFmtId="0" fontId="13" fillId="0" borderId="0" xfId="0" applyFont="1" applyFill="1" applyAlignment="1"/>
    <xf numFmtId="0" fontId="13" fillId="0" borderId="0" xfId="0" applyFont="1" applyFill="1" applyAlignment="1">
      <alignment vertical="center"/>
    </xf>
    <xf numFmtId="0" fontId="14" fillId="0" borderId="0" xfId="0" applyFont="1" applyFill="1" applyAlignment="1">
      <alignment vertical="center"/>
    </xf>
    <xf numFmtId="0" fontId="14" fillId="0" borderId="0" xfId="0" applyFont="1" applyFill="1" applyAlignment="1">
      <alignment horizontal="center" vertical="center"/>
    </xf>
    <xf numFmtId="10" fontId="14" fillId="0" borderId="0" xfId="0" applyNumberFormat="1" applyFont="1" applyFill="1" applyAlignment="1">
      <alignment horizontal="center" vertical="center"/>
    </xf>
    <xf numFmtId="0" fontId="12" fillId="0" borderId="0" xfId="0" applyFont="1" applyFill="1" applyAlignment="1">
      <alignment horizontal="center" vertical="center"/>
    </xf>
    <xf numFmtId="0" fontId="15" fillId="0" borderId="0" xfId="49" applyFont="1" applyFill="1" applyAlignment="1">
      <alignment horizontal="center" vertical="center"/>
    </xf>
    <xf numFmtId="0" fontId="13" fillId="0" borderId="6" xfId="0" applyFont="1" applyFill="1" applyBorder="1" applyAlignment="1">
      <alignment vertical="center"/>
    </xf>
    <xf numFmtId="0" fontId="16" fillId="0" borderId="1" xfId="0" applyFont="1" applyFill="1" applyBorder="1" applyAlignment="1">
      <alignment horizontal="center" vertical="center" wrapText="1"/>
    </xf>
    <xf numFmtId="0" fontId="13" fillId="0" borderId="1" xfId="0" applyFont="1" applyFill="1" applyBorder="1" applyAlignment="1">
      <alignment vertical="center"/>
    </xf>
    <xf numFmtId="0" fontId="13" fillId="0" borderId="1" xfId="49" applyFont="1" applyFill="1" applyBorder="1" applyAlignment="1">
      <alignment horizontal="left" vertical="center" wrapText="1"/>
    </xf>
    <xf numFmtId="0" fontId="13" fillId="0" borderId="1" xfId="49"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49" applyFont="1" applyFill="1" applyBorder="1" applyAlignment="1">
      <alignment vertical="center" wrapText="1"/>
    </xf>
    <xf numFmtId="0" fontId="13" fillId="0" borderId="0" xfId="0" applyFont="1" applyFill="1" applyAlignment="1">
      <alignment horizontal="center" vertical="center"/>
    </xf>
    <xf numFmtId="10" fontId="15" fillId="0" borderId="0" xfId="49" applyNumberFormat="1" applyFont="1" applyFill="1" applyAlignment="1">
      <alignment horizontal="center" vertical="center"/>
    </xf>
    <xf numFmtId="0" fontId="13" fillId="0" borderId="0" xfId="49" applyFont="1" applyFill="1" applyAlignment="1">
      <alignment horizontal="left" vertical="center"/>
    </xf>
    <xf numFmtId="10" fontId="13" fillId="0" borderId="0" xfId="49" applyNumberFormat="1" applyFont="1" applyFill="1" applyAlignment="1">
      <alignment horizontal="center" vertical="center"/>
    </xf>
    <xf numFmtId="0" fontId="13" fillId="0" borderId="0" xfId="49" applyFont="1" applyFill="1" applyAlignment="1">
      <alignment horizontal="center" vertical="center"/>
    </xf>
    <xf numFmtId="0" fontId="17" fillId="0" borderId="0" xfId="49" applyFont="1" applyFill="1" applyAlignment="1">
      <alignment horizontal="center" vertical="center"/>
    </xf>
    <xf numFmtId="10" fontId="13" fillId="0" borderId="1" xfId="49" applyNumberFormat="1" applyFont="1" applyFill="1" applyBorder="1" applyAlignment="1">
      <alignment horizontal="center" vertical="center" wrapText="1"/>
    </xf>
    <xf numFmtId="0" fontId="13" fillId="0" borderId="1" xfId="49" applyFont="1" applyFill="1" applyBorder="1" applyAlignment="1">
      <alignment horizontal="center" vertical="center"/>
    </xf>
    <xf numFmtId="0" fontId="13" fillId="0" borderId="1" xfId="0" applyFont="1" applyFill="1" applyBorder="1" applyAlignment="1">
      <alignment horizontal="left" vertical="center" wrapText="1"/>
    </xf>
    <xf numFmtId="10"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9" fontId="13" fillId="0" borderId="1" xfId="49" applyNumberFormat="1" applyFont="1" applyFill="1" applyBorder="1" applyAlignment="1" applyProtection="1">
      <alignment horizontal="center" vertical="center" wrapText="1"/>
    </xf>
    <xf numFmtId="10" fontId="13" fillId="0" borderId="0" xfId="0" applyNumberFormat="1" applyFont="1" applyFill="1" applyAlignment="1">
      <alignment horizontal="center" vertical="center"/>
    </xf>
    <xf numFmtId="0" fontId="18" fillId="0" borderId="0" xfId="0" applyFont="1" applyFill="1">
      <alignment vertical="center"/>
    </xf>
    <xf numFmtId="10" fontId="14" fillId="0" borderId="0" xfId="11" applyNumberFormat="1" applyFont="1" applyFill="1" applyAlignment="1">
      <alignment horizontal="center" vertical="center"/>
    </xf>
    <xf numFmtId="43" fontId="14" fillId="0" borderId="0" xfId="8" applyFont="1" applyFill="1" applyAlignment="1">
      <alignment horizontal="center" vertical="center"/>
    </xf>
    <xf numFmtId="10" fontId="13" fillId="0" borderId="0" xfId="11" applyNumberFormat="1" applyFont="1" applyFill="1" applyAlignment="1">
      <alignment vertical="center"/>
    </xf>
    <xf numFmtId="43" fontId="14" fillId="0" borderId="0" xfId="0" applyNumberFormat="1" applyFont="1" applyFill="1" applyAlignment="1">
      <alignment horizontal="center" vertical="center"/>
    </xf>
    <xf numFmtId="0" fontId="19" fillId="0" borderId="0" xfId="0" applyFont="1" applyFill="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绩效考评指标(4.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12</xdr:row>
      <xdr:rowOff>0</xdr:rowOff>
    </xdr:from>
    <xdr:to>
      <xdr:col>2</xdr:col>
      <xdr:colOff>14288</xdr:colOff>
      <xdr:row>12</xdr:row>
      <xdr:rowOff>14288</xdr:rowOff>
    </xdr:to>
    <xdr:sp>
      <xdr:nvSpPr>
        <xdr:cNvPr id="2" name="图片 1"/>
        <xdr:cNvSpPr>
          <a:spLocks noChangeAspect="1" noChangeArrowheads="1"/>
        </xdr:cNvSpPr>
      </xdr:nvSpPr>
      <xdr:spPr>
        <a:xfrm>
          <a:off x="890905" y="4369435"/>
          <a:ext cx="13970" cy="13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14288</xdr:colOff>
      <xdr:row>12</xdr:row>
      <xdr:rowOff>14288</xdr:rowOff>
    </xdr:to>
    <xdr:sp>
      <xdr:nvSpPr>
        <xdr:cNvPr id="3" name="图片 2"/>
        <xdr:cNvSpPr>
          <a:spLocks noChangeAspect="1" noChangeArrowheads="1"/>
        </xdr:cNvSpPr>
      </xdr:nvSpPr>
      <xdr:spPr>
        <a:xfrm>
          <a:off x="890905" y="4369435"/>
          <a:ext cx="13970" cy="13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14288</xdr:colOff>
      <xdr:row>12</xdr:row>
      <xdr:rowOff>14288</xdr:rowOff>
    </xdr:to>
    <xdr:sp>
      <xdr:nvSpPr>
        <xdr:cNvPr id="4" name="图片 3"/>
        <xdr:cNvSpPr>
          <a:spLocks noChangeAspect="1" noChangeArrowheads="1"/>
        </xdr:cNvSpPr>
      </xdr:nvSpPr>
      <xdr:spPr>
        <a:xfrm>
          <a:off x="890905" y="4369435"/>
          <a:ext cx="13970" cy="13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14288</xdr:colOff>
      <xdr:row>12</xdr:row>
      <xdr:rowOff>14288</xdr:rowOff>
    </xdr:to>
    <xdr:sp>
      <xdr:nvSpPr>
        <xdr:cNvPr id="5" name="图片 4"/>
        <xdr:cNvSpPr>
          <a:spLocks noChangeAspect="1" noChangeArrowheads="1"/>
        </xdr:cNvSpPr>
      </xdr:nvSpPr>
      <xdr:spPr>
        <a:xfrm>
          <a:off x="890905" y="4369435"/>
          <a:ext cx="13970" cy="13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13970</xdr:colOff>
      <xdr:row>12</xdr:row>
      <xdr:rowOff>13970</xdr:rowOff>
    </xdr:to>
    <xdr:sp>
      <xdr:nvSpPr>
        <xdr:cNvPr id="6" name="图片 1"/>
        <xdr:cNvSpPr>
          <a:spLocks noChangeAspect="1" noChangeArrowheads="1"/>
        </xdr:cNvSpPr>
      </xdr:nvSpPr>
      <xdr:spPr>
        <a:xfrm>
          <a:off x="890905" y="4369435"/>
          <a:ext cx="13970" cy="13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13970</xdr:colOff>
      <xdr:row>12</xdr:row>
      <xdr:rowOff>13970</xdr:rowOff>
    </xdr:to>
    <xdr:sp>
      <xdr:nvSpPr>
        <xdr:cNvPr id="7" name="图片 2"/>
        <xdr:cNvSpPr>
          <a:spLocks noChangeAspect="1" noChangeArrowheads="1"/>
        </xdr:cNvSpPr>
      </xdr:nvSpPr>
      <xdr:spPr>
        <a:xfrm>
          <a:off x="890905" y="4369435"/>
          <a:ext cx="13970" cy="13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13970</xdr:colOff>
      <xdr:row>12</xdr:row>
      <xdr:rowOff>13970</xdr:rowOff>
    </xdr:to>
    <xdr:sp>
      <xdr:nvSpPr>
        <xdr:cNvPr id="8" name="图片 3"/>
        <xdr:cNvSpPr>
          <a:spLocks noChangeAspect="1" noChangeArrowheads="1"/>
        </xdr:cNvSpPr>
      </xdr:nvSpPr>
      <xdr:spPr>
        <a:xfrm>
          <a:off x="890905" y="4369435"/>
          <a:ext cx="13970" cy="13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13970</xdr:colOff>
      <xdr:row>12</xdr:row>
      <xdr:rowOff>13970</xdr:rowOff>
    </xdr:to>
    <xdr:sp>
      <xdr:nvSpPr>
        <xdr:cNvPr id="9" name="图片 4"/>
        <xdr:cNvSpPr>
          <a:spLocks noChangeAspect="1" noChangeArrowheads="1"/>
        </xdr:cNvSpPr>
      </xdr:nvSpPr>
      <xdr:spPr>
        <a:xfrm>
          <a:off x="890905" y="4369435"/>
          <a:ext cx="13970" cy="13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Q68"/>
  <sheetViews>
    <sheetView view="pageBreakPreview" zoomScaleNormal="100" workbookViewId="0">
      <pane ySplit="5" topLeftCell="A41" activePane="bottomLeft" state="frozen"/>
      <selection/>
      <selection pane="bottomLeft" activeCell="A1" sqref="A1"/>
    </sheetView>
  </sheetViews>
  <sheetFormatPr defaultColWidth="9.5" defaultRowHeight="15"/>
  <cols>
    <col min="1" max="1" width="6.5" style="122" customWidth="1"/>
    <col min="2" max="2" width="6.25454545454545" style="122" customWidth="1"/>
    <col min="3" max="3" width="6.37272727272727" style="122" customWidth="1"/>
    <col min="4" max="4" width="7" style="123" customWidth="1"/>
    <col min="5" max="5" width="11" style="123" customWidth="1"/>
    <col min="6" max="6" width="6.87272727272727" style="122" customWidth="1"/>
    <col min="7" max="7" width="56.1272727272727" style="122" hidden="1" customWidth="1"/>
    <col min="8" max="8" width="6.25454545454545" style="122" customWidth="1"/>
    <col min="9" max="9" width="31" style="122" customWidth="1"/>
    <col min="10" max="10" width="9.72727272727273" style="124" customWidth="1"/>
    <col min="11" max="11" width="7.75454545454545" style="123" customWidth="1"/>
    <col min="12" max="12" width="12.6363636363636" style="123" customWidth="1"/>
    <col min="13" max="13" width="8.62727272727273" style="123" customWidth="1"/>
    <col min="14" max="14" width="19.8727272727273" style="125" hidden="1" customWidth="1"/>
    <col min="15" max="16384" width="9.5" style="118"/>
  </cols>
  <sheetData>
    <row r="1" s="118" customFormat="1" ht="26.1" customHeight="1" spans="1:14">
      <c r="A1" s="118" t="s">
        <v>0</v>
      </c>
      <c r="B1" s="122"/>
      <c r="C1" s="122"/>
      <c r="D1" s="123"/>
      <c r="E1" s="123"/>
      <c r="F1" s="122"/>
      <c r="G1" s="122"/>
      <c r="H1" s="122"/>
      <c r="I1" s="122"/>
      <c r="J1" s="124"/>
      <c r="K1" s="123"/>
      <c r="L1" s="123"/>
      <c r="M1" s="123"/>
      <c r="N1" s="125"/>
    </row>
    <row r="2" s="119" customFormat="1" ht="20" customHeight="1" spans="1:14">
      <c r="A2" s="126" t="s">
        <v>1</v>
      </c>
      <c r="B2" s="126"/>
      <c r="C2" s="126"/>
      <c r="D2" s="126"/>
      <c r="E2" s="126"/>
      <c r="F2" s="126"/>
      <c r="G2" s="126"/>
      <c r="H2" s="126"/>
      <c r="I2" s="126"/>
      <c r="J2" s="136"/>
      <c r="K2" s="126"/>
      <c r="L2" s="126"/>
      <c r="M2" s="126"/>
      <c r="N2" s="126"/>
    </row>
    <row r="3" s="120" customFormat="1" ht="26.1" customHeight="1" spans="1:14">
      <c r="A3" s="127" t="s">
        <v>2</v>
      </c>
      <c r="B3" s="127"/>
      <c r="C3" s="127"/>
      <c r="D3" s="127"/>
      <c r="E3" s="127"/>
      <c r="F3" s="121"/>
      <c r="G3" s="121"/>
      <c r="H3" s="121"/>
      <c r="I3" s="137"/>
      <c r="J3" s="138"/>
      <c r="K3" s="139" t="s">
        <v>3</v>
      </c>
      <c r="L3" s="139"/>
      <c r="M3" s="139"/>
      <c r="N3" s="140"/>
    </row>
    <row r="4" s="120" customFormat="1" ht="16" customHeight="1" spans="1:14">
      <c r="A4" s="128" t="s">
        <v>4</v>
      </c>
      <c r="B4" s="128"/>
      <c r="C4" s="128" t="s">
        <v>5</v>
      </c>
      <c r="D4" s="128"/>
      <c r="E4" s="128" t="s">
        <v>6</v>
      </c>
      <c r="F4" s="128"/>
      <c r="G4" s="129"/>
      <c r="H4" s="128" t="s">
        <v>7</v>
      </c>
      <c r="I4" s="128" t="s">
        <v>8</v>
      </c>
      <c r="J4" s="141" t="s">
        <v>9</v>
      </c>
      <c r="K4" s="131" t="s">
        <v>10</v>
      </c>
      <c r="L4" s="131" t="s">
        <v>11</v>
      </c>
      <c r="M4" s="131" t="s">
        <v>12</v>
      </c>
      <c r="N4" s="142" t="s">
        <v>13</v>
      </c>
    </row>
    <row r="5" s="121" customFormat="1" ht="19" customHeight="1" spans="1:14">
      <c r="A5" s="128" t="s">
        <v>14</v>
      </c>
      <c r="B5" s="128" t="s">
        <v>15</v>
      </c>
      <c r="C5" s="128" t="s">
        <v>14</v>
      </c>
      <c r="D5" s="128" t="s">
        <v>15</v>
      </c>
      <c r="E5" s="128" t="s">
        <v>14</v>
      </c>
      <c r="F5" s="128" t="s">
        <v>15</v>
      </c>
      <c r="G5" s="128" t="s">
        <v>16</v>
      </c>
      <c r="H5" s="128"/>
      <c r="I5" s="128"/>
      <c r="J5" s="141"/>
      <c r="K5" s="131"/>
      <c r="L5" s="131"/>
      <c r="M5" s="131"/>
      <c r="N5" s="142"/>
    </row>
    <row r="6" s="121" customFormat="1" ht="30" customHeight="1" spans="1:14">
      <c r="A6" s="128" t="s">
        <v>17</v>
      </c>
      <c r="B6" s="128">
        <v>15</v>
      </c>
      <c r="C6" s="128" t="s">
        <v>18</v>
      </c>
      <c r="D6" s="128">
        <v>5</v>
      </c>
      <c r="E6" s="128" t="s">
        <v>19</v>
      </c>
      <c r="F6" s="128">
        <v>2</v>
      </c>
      <c r="G6" s="130" t="s">
        <v>20</v>
      </c>
      <c r="H6" s="131">
        <v>0.5</v>
      </c>
      <c r="I6" s="134" t="s">
        <v>21</v>
      </c>
      <c r="J6" s="141" t="s">
        <v>22</v>
      </c>
      <c r="K6" s="131">
        <v>0.5</v>
      </c>
      <c r="L6" s="131"/>
      <c r="M6" s="131">
        <f>SUM(K6:K25)</f>
        <v>15</v>
      </c>
      <c r="N6" s="128"/>
    </row>
    <row r="7" s="121" customFormat="1" ht="33" customHeight="1" spans="1:14">
      <c r="A7" s="128"/>
      <c r="B7" s="128"/>
      <c r="C7" s="128"/>
      <c r="D7" s="128"/>
      <c r="E7" s="128"/>
      <c r="F7" s="128"/>
      <c r="G7" s="130"/>
      <c r="H7" s="131">
        <v>0.5</v>
      </c>
      <c r="I7" s="134" t="s">
        <v>23</v>
      </c>
      <c r="J7" s="141" t="s">
        <v>22</v>
      </c>
      <c r="K7" s="131">
        <v>0.5</v>
      </c>
      <c r="L7" s="131"/>
      <c r="M7" s="131"/>
      <c r="N7" s="128"/>
    </row>
    <row r="8" s="121" customFormat="1" ht="30.95" customHeight="1" spans="1:14">
      <c r="A8" s="128"/>
      <c r="B8" s="128"/>
      <c r="C8" s="128"/>
      <c r="D8" s="128"/>
      <c r="E8" s="128"/>
      <c r="F8" s="128"/>
      <c r="G8" s="130"/>
      <c r="H8" s="131">
        <v>0.5</v>
      </c>
      <c r="I8" s="134" t="s">
        <v>24</v>
      </c>
      <c r="J8" s="141" t="s">
        <v>22</v>
      </c>
      <c r="K8" s="131">
        <v>0.5</v>
      </c>
      <c r="L8" s="131"/>
      <c r="M8" s="131"/>
      <c r="N8" s="128"/>
    </row>
    <row r="9" s="121" customFormat="1" ht="45.95" customHeight="1" spans="1:14">
      <c r="A9" s="128"/>
      <c r="B9" s="128"/>
      <c r="C9" s="128"/>
      <c r="D9" s="128"/>
      <c r="E9" s="128"/>
      <c r="F9" s="128"/>
      <c r="G9" s="130"/>
      <c r="H9" s="131">
        <v>0.5</v>
      </c>
      <c r="I9" s="134" t="s">
        <v>25</v>
      </c>
      <c r="J9" s="141" t="s">
        <v>22</v>
      </c>
      <c r="K9" s="131">
        <v>0.5</v>
      </c>
      <c r="L9" s="131"/>
      <c r="M9" s="131"/>
      <c r="N9" s="128"/>
    </row>
    <row r="10" s="121" customFormat="1" ht="24" customHeight="1" spans="1:14">
      <c r="A10" s="128"/>
      <c r="B10" s="128"/>
      <c r="C10" s="128"/>
      <c r="D10" s="128"/>
      <c r="E10" s="128" t="s">
        <v>26</v>
      </c>
      <c r="F10" s="128">
        <v>3</v>
      </c>
      <c r="G10" s="130"/>
      <c r="H10" s="131">
        <v>1</v>
      </c>
      <c r="I10" s="134" t="s">
        <v>27</v>
      </c>
      <c r="J10" s="141" t="s">
        <v>22</v>
      </c>
      <c r="K10" s="131">
        <v>1</v>
      </c>
      <c r="L10" s="131"/>
      <c r="M10" s="131"/>
      <c r="N10" s="128"/>
    </row>
    <row r="11" s="121" customFormat="1" ht="27" customHeight="1" spans="1:14">
      <c r="A11" s="128"/>
      <c r="B11" s="128"/>
      <c r="C11" s="128"/>
      <c r="D11" s="128"/>
      <c r="E11" s="128"/>
      <c r="F11" s="128"/>
      <c r="G11" s="130"/>
      <c r="H11" s="131">
        <v>1</v>
      </c>
      <c r="I11" s="134" t="s">
        <v>28</v>
      </c>
      <c r="J11" s="141" t="s">
        <v>22</v>
      </c>
      <c r="K11" s="131">
        <v>1</v>
      </c>
      <c r="L11" s="131"/>
      <c r="M11" s="131"/>
      <c r="N11" s="128"/>
    </row>
    <row r="12" s="121" customFormat="1" ht="45.95" customHeight="1" spans="1:14">
      <c r="A12" s="128"/>
      <c r="B12" s="128"/>
      <c r="C12" s="128"/>
      <c r="D12" s="128"/>
      <c r="E12" s="128"/>
      <c r="F12" s="128"/>
      <c r="G12" s="130" t="s">
        <v>29</v>
      </c>
      <c r="H12" s="131">
        <v>1</v>
      </c>
      <c r="I12" s="134" t="s">
        <v>30</v>
      </c>
      <c r="J12" s="141" t="s">
        <v>22</v>
      </c>
      <c r="K12" s="131">
        <v>1</v>
      </c>
      <c r="L12" s="131"/>
      <c r="M12" s="131"/>
      <c r="N12" s="128"/>
    </row>
    <row r="13" s="121" customFormat="1" ht="27" customHeight="1" spans="1:14">
      <c r="A13" s="128"/>
      <c r="B13" s="128"/>
      <c r="C13" s="128" t="s">
        <v>31</v>
      </c>
      <c r="D13" s="128">
        <v>5</v>
      </c>
      <c r="E13" s="128" t="s">
        <v>32</v>
      </c>
      <c r="F13" s="128">
        <v>2</v>
      </c>
      <c r="G13" s="130"/>
      <c r="H13" s="131">
        <v>0.5</v>
      </c>
      <c r="I13" s="134" t="s">
        <v>33</v>
      </c>
      <c r="J13" s="141" t="s">
        <v>22</v>
      </c>
      <c r="K13" s="131">
        <v>0.5</v>
      </c>
      <c r="L13" s="131"/>
      <c r="M13" s="131"/>
      <c r="N13" s="128"/>
    </row>
    <row r="14" s="121" customFormat="1" ht="36" customHeight="1" spans="1:14">
      <c r="A14" s="128"/>
      <c r="B14" s="128"/>
      <c r="C14" s="128"/>
      <c r="D14" s="128"/>
      <c r="E14" s="128"/>
      <c r="F14" s="128"/>
      <c r="G14" s="130"/>
      <c r="H14" s="131">
        <v>0.5</v>
      </c>
      <c r="I14" s="134" t="s">
        <v>34</v>
      </c>
      <c r="J14" s="141" t="s">
        <v>22</v>
      </c>
      <c r="K14" s="131">
        <v>0.5</v>
      </c>
      <c r="L14" s="131"/>
      <c r="M14" s="131"/>
      <c r="N14" s="128"/>
    </row>
    <row r="15" s="121" customFormat="1" ht="38.1" customHeight="1" spans="1:17">
      <c r="A15" s="128"/>
      <c r="B15" s="128"/>
      <c r="C15" s="128"/>
      <c r="D15" s="128"/>
      <c r="E15" s="128"/>
      <c r="F15" s="128"/>
      <c r="G15" s="130"/>
      <c r="H15" s="131">
        <v>0.5</v>
      </c>
      <c r="I15" s="134" t="s">
        <v>35</v>
      </c>
      <c r="J15" s="141" t="s">
        <v>22</v>
      </c>
      <c r="K15" s="131">
        <v>0.5</v>
      </c>
      <c r="L15" s="131"/>
      <c r="M15" s="131"/>
      <c r="N15" s="128"/>
      <c r="Q15" s="151"/>
    </row>
    <row r="16" s="121" customFormat="1" ht="33.95" customHeight="1" spans="1:14">
      <c r="A16" s="128"/>
      <c r="B16" s="128"/>
      <c r="C16" s="128"/>
      <c r="D16" s="128"/>
      <c r="E16" s="128"/>
      <c r="F16" s="128"/>
      <c r="G16" s="130" t="s">
        <v>36</v>
      </c>
      <c r="H16" s="131">
        <v>0.5</v>
      </c>
      <c r="I16" s="134" t="s">
        <v>37</v>
      </c>
      <c r="J16" s="141" t="s">
        <v>22</v>
      </c>
      <c r="K16" s="131">
        <v>0.5</v>
      </c>
      <c r="L16" s="131"/>
      <c r="M16" s="131"/>
      <c r="N16" s="128"/>
    </row>
    <row r="17" s="121" customFormat="1" ht="39" customHeight="1" spans="1:14">
      <c r="A17" s="128"/>
      <c r="B17" s="128"/>
      <c r="C17" s="128"/>
      <c r="D17" s="128"/>
      <c r="E17" s="128" t="s">
        <v>38</v>
      </c>
      <c r="F17" s="128">
        <v>3</v>
      </c>
      <c r="G17" s="130"/>
      <c r="H17" s="131">
        <v>1</v>
      </c>
      <c r="I17" s="134" t="s">
        <v>39</v>
      </c>
      <c r="J17" s="141" t="s">
        <v>22</v>
      </c>
      <c r="K17" s="131">
        <v>1</v>
      </c>
      <c r="L17" s="131"/>
      <c r="M17" s="131"/>
      <c r="N17" s="128"/>
    </row>
    <row r="18" s="121" customFormat="1" ht="33" customHeight="1" spans="1:14">
      <c r="A18" s="128"/>
      <c r="B18" s="128"/>
      <c r="C18" s="128"/>
      <c r="D18" s="128"/>
      <c r="E18" s="128"/>
      <c r="F18" s="128"/>
      <c r="G18" s="130"/>
      <c r="H18" s="131">
        <v>1</v>
      </c>
      <c r="I18" s="134" t="s">
        <v>40</v>
      </c>
      <c r="J18" s="141" t="s">
        <v>22</v>
      </c>
      <c r="K18" s="131">
        <v>1</v>
      </c>
      <c r="L18" s="131"/>
      <c r="M18" s="131"/>
      <c r="N18" s="128"/>
    </row>
    <row r="19" s="121" customFormat="1" ht="34" customHeight="1" spans="1:14">
      <c r="A19" s="128"/>
      <c r="B19" s="128"/>
      <c r="C19" s="128"/>
      <c r="D19" s="128"/>
      <c r="E19" s="128"/>
      <c r="F19" s="128"/>
      <c r="G19" s="130" t="s">
        <v>41</v>
      </c>
      <c r="H19" s="131">
        <v>1</v>
      </c>
      <c r="I19" s="134" t="s">
        <v>42</v>
      </c>
      <c r="J19" s="141" t="s">
        <v>22</v>
      </c>
      <c r="K19" s="131">
        <v>1</v>
      </c>
      <c r="L19" s="131"/>
      <c r="M19" s="131"/>
      <c r="N19" s="128"/>
    </row>
    <row r="20" s="121" customFormat="1" ht="27" customHeight="1" spans="1:14">
      <c r="A20" s="128"/>
      <c r="B20" s="128"/>
      <c r="C20" s="128" t="s">
        <v>43</v>
      </c>
      <c r="D20" s="128">
        <v>5</v>
      </c>
      <c r="E20" s="132" t="s">
        <v>44</v>
      </c>
      <c r="F20" s="128">
        <v>3</v>
      </c>
      <c r="G20" s="130"/>
      <c r="H20" s="131">
        <v>0.75</v>
      </c>
      <c r="I20" s="134" t="s">
        <v>45</v>
      </c>
      <c r="J20" s="141" t="s">
        <v>22</v>
      </c>
      <c r="K20" s="131">
        <v>0.75</v>
      </c>
      <c r="L20" s="130"/>
      <c r="M20" s="131"/>
      <c r="N20" s="128"/>
    </row>
    <row r="21" s="121" customFormat="1" ht="27" customHeight="1" spans="1:14">
      <c r="A21" s="128"/>
      <c r="B21" s="128"/>
      <c r="C21" s="128"/>
      <c r="D21" s="128"/>
      <c r="E21" s="132"/>
      <c r="F21" s="128"/>
      <c r="G21" s="130"/>
      <c r="H21" s="131">
        <v>0.75</v>
      </c>
      <c r="I21" s="134" t="s">
        <v>46</v>
      </c>
      <c r="J21" s="141" t="s">
        <v>22</v>
      </c>
      <c r="K21" s="131">
        <v>0.75</v>
      </c>
      <c r="L21" s="130"/>
      <c r="M21" s="131"/>
      <c r="N21" s="128"/>
    </row>
    <row r="22" s="121" customFormat="1" ht="33.95" customHeight="1" spans="1:14">
      <c r="A22" s="128"/>
      <c r="B22" s="128"/>
      <c r="C22" s="128"/>
      <c r="D22" s="128"/>
      <c r="E22" s="132"/>
      <c r="F22" s="128"/>
      <c r="G22" s="130"/>
      <c r="H22" s="131">
        <v>0.75</v>
      </c>
      <c r="I22" s="134" t="s">
        <v>47</v>
      </c>
      <c r="J22" s="141" t="s">
        <v>22</v>
      </c>
      <c r="K22" s="131">
        <v>0.75</v>
      </c>
      <c r="L22" s="130"/>
      <c r="M22" s="131"/>
      <c r="N22" s="128"/>
    </row>
    <row r="23" s="121" customFormat="1" ht="33.95" customHeight="1" spans="1:14">
      <c r="A23" s="128"/>
      <c r="B23" s="128"/>
      <c r="C23" s="128"/>
      <c r="D23" s="128"/>
      <c r="E23" s="132"/>
      <c r="F23" s="128"/>
      <c r="G23" s="133" t="s">
        <v>48</v>
      </c>
      <c r="H23" s="131">
        <v>0.75</v>
      </c>
      <c r="I23" s="133" t="s">
        <v>49</v>
      </c>
      <c r="J23" s="141" t="s">
        <v>22</v>
      </c>
      <c r="K23" s="131">
        <v>0.75</v>
      </c>
      <c r="L23" s="130"/>
      <c r="M23" s="131"/>
      <c r="N23" s="128"/>
    </row>
    <row r="24" s="121" customFormat="1" ht="27" customHeight="1" spans="1:14">
      <c r="A24" s="128"/>
      <c r="B24" s="128"/>
      <c r="C24" s="128"/>
      <c r="D24" s="128"/>
      <c r="E24" s="132" t="s">
        <v>50</v>
      </c>
      <c r="F24" s="128">
        <v>2</v>
      </c>
      <c r="G24" s="133"/>
      <c r="H24" s="132">
        <v>1</v>
      </c>
      <c r="I24" s="133" t="s">
        <v>51</v>
      </c>
      <c r="J24" s="141" t="s">
        <v>22</v>
      </c>
      <c r="K24" s="132">
        <v>1</v>
      </c>
      <c r="L24" s="143"/>
      <c r="M24" s="131"/>
      <c r="N24" s="128"/>
    </row>
    <row r="25" s="121" customFormat="1" ht="39.95" customHeight="1" spans="1:14">
      <c r="A25" s="128"/>
      <c r="B25" s="128"/>
      <c r="C25" s="128"/>
      <c r="D25" s="128"/>
      <c r="E25" s="132"/>
      <c r="F25" s="128"/>
      <c r="G25" s="133" t="s">
        <v>52</v>
      </c>
      <c r="H25" s="132">
        <v>1</v>
      </c>
      <c r="I25" s="133" t="s">
        <v>53</v>
      </c>
      <c r="J25" s="141" t="s">
        <v>22</v>
      </c>
      <c r="K25" s="132">
        <v>1</v>
      </c>
      <c r="L25" s="143"/>
      <c r="M25" s="131"/>
      <c r="N25" s="128"/>
    </row>
    <row r="26" s="121" customFormat="1" ht="35.1" customHeight="1" spans="1:14">
      <c r="A26" s="128" t="s">
        <v>54</v>
      </c>
      <c r="B26" s="128">
        <v>25</v>
      </c>
      <c r="C26" s="128" t="s">
        <v>55</v>
      </c>
      <c r="D26" s="128">
        <v>15</v>
      </c>
      <c r="E26" s="132" t="s">
        <v>56</v>
      </c>
      <c r="F26" s="128">
        <v>4</v>
      </c>
      <c r="G26" s="133" t="s">
        <v>57</v>
      </c>
      <c r="H26" s="132">
        <v>4</v>
      </c>
      <c r="I26" s="133" t="s">
        <v>58</v>
      </c>
      <c r="J26" s="144">
        <v>1</v>
      </c>
      <c r="K26" s="132">
        <v>4</v>
      </c>
      <c r="L26" s="132"/>
      <c r="M26" s="132">
        <f>SUM(K26:K41)</f>
        <v>16</v>
      </c>
      <c r="N26" s="128"/>
    </row>
    <row r="27" s="121" customFormat="1" ht="33" customHeight="1" spans="1:14">
      <c r="A27" s="128"/>
      <c r="B27" s="128"/>
      <c r="C27" s="128"/>
      <c r="D27" s="128"/>
      <c r="E27" s="132" t="s">
        <v>59</v>
      </c>
      <c r="F27" s="128">
        <v>5</v>
      </c>
      <c r="G27" s="133" t="s">
        <v>60</v>
      </c>
      <c r="H27" s="132">
        <v>5</v>
      </c>
      <c r="I27" s="133" t="s">
        <v>61</v>
      </c>
      <c r="J27" s="144">
        <v>0.94</v>
      </c>
      <c r="K27" s="132">
        <v>5</v>
      </c>
      <c r="L27" s="132"/>
      <c r="M27" s="132"/>
      <c r="N27" s="128"/>
    </row>
    <row r="28" s="121" customFormat="1" ht="47" customHeight="1" spans="1:14">
      <c r="A28" s="128"/>
      <c r="B28" s="128"/>
      <c r="C28" s="128"/>
      <c r="D28" s="128"/>
      <c r="E28" s="132" t="s">
        <v>62</v>
      </c>
      <c r="F28" s="128">
        <v>6</v>
      </c>
      <c r="G28" s="133"/>
      <c r="H28" s="132">
        <v>1.5</v>
      </c>
      <c r="I28" s="133" t="s">
        <v>63</v>
      </c>
      <c r="J28" s="141" t="s">
        <v>64</v>
      </c>
      <c r="K28" s="132">
        <v>0</v>
      </c>
      <c r="L28" s="143" t="s">
        <v>65</v>
      </c>
      <c r="M28" s="132"/>
      <c r="N28" s="128"/>
    </row>
    <row r="29" s="121" customFormat="1" ht="32" customHeight="1" spans="1:14">
      <c r="A29" s="128"/>
      <c r="B29" s="128"/>
      <c r="C29" s="128"/>
      <c r="D29" s="128"/>
      <c r="E29" s="132"/>
      <c r="F29" s="128"/>
      <c r="G29" s="133"/>
      <c r="H29" s="132">
        <v>1.5</v>
      </c>
      <c r="I29" s="133" t="s">
        <v>66</v>
      </c>
      <c r="J29" s="141" t="s">
        <v>22</v>
      </c>
      <c r="K29" s="132">
        <v>1.5</v>
      </c>
      <c r="L29" s="143"/>
      <c r="M29" s="132"/>
      <c r="N29" s="128"/>
    </row>
    <row r="30" s="121" customFormat="1" ht="33" customHeight="1" spans="1:14">
      <c r="A30" s="128"/>
      <c r="B30" s="128"/>
      <c r="C30" s="128"/>
      <c r="D30" s="128"/>
      <c r="E30" s="132"/>
      <c r="F30" s="128"/>
      <c r="G30" s="133"/>
      <c r="H30" s="132">
        <v>1.5</v>
      </c>
      <c r="I30" s="133" t="s">
        <v>67</v>
      </c>
      <c r="J30" s="141" t="s">
        <v>22</v>
      </c>
      <c r="K30" s="132">
        <v>1.5</v>
      </c>
      <c r="L30" s="143"/>
      <c r="M30" s="132"/>
      <c r="N30" s="128"/>
    </row>
    <row r="31" s="121" customFormat="1" ht="38.1" customHeight="1" spans="1:14">
      <c r="A31" s="128"/>
      <c r="B31" s="128"/>
      <c r="C31" s="128"/>
      <c r="D31" s="128"/>
      <c r="E31" s="132"/>
      <c r="F31" s="128"/>
      <c r="G31" s="133" t="s">
        <v>68</v>
      </c>
      <c r="H31" s="132">
        <v>1.5</v>
      </c>
      <c r="I31" s="133" t="s">
        <v>69</v>
      </c>
      <c r="J31" s="141" t="s">
        <v>22</v>
      </c>
      <c r="K31" s="132">
        <v>0</v>
      </c>
      <c r="L31" s="143" t="s">
        <v>70</v>
      </c>
      <c r="M31" s="132"/>
      <c r="N31" s="128"/>
    </row>
    <row r="32" s="121" customFormat="1" ht="38.1" customHeight="1" spans="1:14">
      <c r="A32" s="128"/>
      <c r="B32" s="128"/>
      <c r="C32" s="128" t="s">
        <v>71</v>
      </c>
      <c r="D32" s="128">
        <v>10</v>
      </c>
      <c r="E32" s="132" t="s">
        <v>72</v>
      </c>
      <c r="F32" s="128">
        <v>3</v>
      </c>
      <c r="G32" s="133"/>
      <c r="H32" s="132">
        <v>0.5</v>
      </c>
      <c r="I32" s="133" t="s">
        <v>73</v>
      </c>
      <c r="J32" s="141" t="s">
        <v>22</v>
      </c>
      <c r="K32" s="132">
        <v>0.5</v>
      </c>
      <c r="L32" s="143"/>
      <c r="M32" s="132"/>
      <c r="N32" s="128"/>
    </row>
    <row r="33" s="121" customFormat="1" ht="44" customHeight="1" spans="1:14">
      <c r="A33" s="128"/>
      <c r="B33" s="128"/>
      <c r="C33" s="128"/>
      <c r="D33" s="128"/>
      <c r="E33" s="132"/>
      <c r="F33" s="128"/>
      <c r="G33" s="133"/>
      <c r="H33" s="132">
        <v>0.5</v>
      </c>
      <c r="I33" s="133" t="s">
        <v>74</v>
      </c>
      <c r="J33" s="141" t="s">
        <v>22</v>
      </c>
      <c r="K33" s="132">
        <v>0.5</v>
      </c>
      <c r="L33" s="143"/>
      <c r="M33" s="132"/>
      <c r="N33" s="128"/>
    </row>
    <row r="34" s="121" customFormat="1" ht="36" customHeight="1" spans="1:14">
      <c r="A34" s="128"/>
      <c r="B34" s="128"/>
      <c r="C34" s="128"/>
      <c r="D34" s="128"/>
      <c r="E34" s="132"/>
      <c r="F34" s="128"/>
      <c r="G34" s="133" t="s">
        <v>75</v>
      </c>
      <c r="H34" s="132">
        <v>1</v>
      </c>
      <c r="I34" s="133" t="s">
        <v>76</v>
      </c>
      <c r="J34" s="141" t="s">
        <v>64</v>
      </c>
      <c r="K34" s="132">
        <v>0</v>
      </c>
      <c r="L34" s="143" t="s">
        <v>77</v>
      </c>
      <c r="M34" s="132"/>
      <c r="N34" s="128"/>
    </row>
    <row r="35" s="121" customFormat="1" ht="36.95" customHeight="1" spans="1:14">
      <c r="A35" s="128"/>
      <c r="B35" s="128"/>
      <c r="C35" s="128"/>
      <c r="D35" s="128"/>
      <c r="E35" s="132"/>
      <c r="F35" s="128"/>
      <c r="G35" s="133"/>
      <c r="H35" s="132">
        <v>1</v>
      </c>
      <c r="I35" s="133" t="s">
        <v>78</v>
      </c>
      <c r="J35" s="141" t="s">
        <v>22</v>
      </c>
      <c r="K35" s="132">
        <v>1</v>
      </c>
      <c r="L35" s="143"/>
      <c r="M35" s="132"/>
      <c r="N35" s="128"/>
    </row>
    <row r="36" s="121" customFormat="1" ht="45" customHeight="1" spans="1:14">
      <c r="A36" s="128"/>
      <c r="B36" s="128"/>
      <c r="C36" s="128"/>
      <c r="D36" s="128"/>
      <c r="E36" s="132" t="s">
        <v>79</v>
      </c>
      <c r="F36" s="128">
        <v>4</v>
      </c>
      <c r="G36" s="133"/>
      <c r="H36" s="132">
        <v>1</v>
      </c>
      <c r="I36" s="133" t="s">
        <v>80</v>
      </c>
      <c r="J36" s="141" t="s">
        <v>64</v>
      </c>
      <c r="K36" s="132">
        <v>0</v>
      </c>
      <c r="L36" s="143" t="s">
        <v>81</v>
      </c>
      <c r="M36" s="132"/>
      <c r="N36" s="128"/>
    </row>
    <row r="37" s="121" customFormat="1" ht="27" customHeight="1" spans="1:14">
      <c r="A37" s="128"/>
      <c r="B37" s="128"/>
      <c r="C37" s="128"/>
      <c r="D37" s="128"/>
      <c r="E37" s="132"/>
      <c r="F37" s="128"/>
      <c r="G37" s="133"/>
      <c r="H37" s="132">
        <v>1</v>
      </c>
      <c r="I37" s="133" t="s">
        <v>82</v>
      </c>
      <c r="J37" s="141" t="s">
        <v>22</v>
      </c>
      <c r="K37" s="132">
        <v>1</v>
      </c>
      <c r="L37" s="143"/>
      <c r="M37" s="132"/>
      <c r="N37" s="128"/>
    </row>
    <row r="38" s="121" customFormat="1" ht="45" customHeight="1" spans="1:14">
      <c r="A38" s="128"/>
      <c r="B38" s="128"/>
      <c r="C38" s="128"/>
      <c r="D38" s="128"/>
      <c r="E38" s="132"/>
      <c r="F38" s="128"/>
      <c r="G38" s="133"/>
      <c r="H38" s="132">
        <v>1</v>
      </c>
      <c r="I38" s="133" t="s">
        <v>83</v>
      </c>
      <c r="J38" s="141" t="s">
        <v>64</v>
      </c>
      <c r="K38" s="132">
        <v>0</v>
      </c>
      <c r="L38" s="143" t="s">
        <v>84</v>
      </c>
      <c r="M38" s="132"/>
      <c r="N38" s="128"/>
    </row>
    <row r="39" s="121" customFormat="1" ht="35.1" customHeight="1" spans="1:14">
      <c r="A39" s="128"/>
      <c r="B39" s="128"/>
      <c r="C39" s="128"/>
      <c r="D39" s="128"/>
      <c r="E39" s="132"/>
      <c r="F39" s="128"/>
      <c r="G39" s="133" t="s">
        <v>85</v>
      </c>
      <c r="H39" s="132">
        <v>1</v>
      </c>
      <c r="I39" s="133" t="s">
        <v>86</v>
      </c>
      <c r="J39" s="141" t="s">
        <v>22</v>
      </c>
      <c r="K39" s="132">
        <v>1</v>
      </c>
      <c r="L39" s="143"/>
      <c r="M39" s="132"/>
      <c r="N39" s="128"/>
    </row>
    <row r="40" s="121" customFormat="1" ht="27" customHeight="1" spans="1:14">
      <c r="A40" s="128"/>
      <c r="B40" s="128"/>
      <c r="C40" s="128"/>
      <c r="D40" s="128"/>
      <c r="E40" s="132" t="s">
        <v>87</v>
      </c>
      <c r="F40" s="128">
        <v>3</v>
      </c>
      <c r="G40" s="133"/>
      <c r="H40" s="132">
        <v>1.5</v>
      </c>
      <c r="I40" s="133" t="s">
        <v>88</v>
      </c>
      <c r="J40" s="141" t="s">
        <v>64</v>
      </c>
      <c r="K40" s="132">
        <v>0</v>
      </c>
      <c r="L40" s="143" t="s">
        <v>89</v>
      </c>
      <c r="M40" s="132"/>
      <c r="N40" s="128"/>
    </row>
    <row r="41" s="121" customFormat="1" ht="41.1" customHeight="1" spans="1:14">
      <c r="A41" s="128"/>
      <c r="B41" s="128"/>
      <c r="C41" s="128"/>
      <c r="D41" s="128"/>
      <c r="E41" s="132"/>
      <c r="F41" s="128"/>
      <c r="G41" s="133" t="s">
        <v>90</v>
      </c>
      <c r="H41" s="132">
        <v>1.5</v>
      </c>
      <c r="I41" s="133" t="s">
        <v>91</v>
      </c>
      <c r="J41" s="141" t="s">
        <v>64</v>
      </c>
      <c r="K41" s="132">
        <v>0</v>
      </c>
      <c r="L41" s="143"/>
      <c r="M41" s="132"/>
      <c r="N41" s="128"/>
    </row>
    <row r="42" s="121" customFormat="1" ht="25" customHeight="1" spans="1:14">
      <c r="A42" s="131" t="s">
        <v>92</v>
      </c>
      <c r="B42" s="131">
        <v>35</v>
      </c>
      <c r="C42" s="131" t="s">
        <v>93</v>
      </c>
      <c r="D42" s="131">
        <v>12</v>
      </c>
      <c r="E42" s="131" t="s">
        <v>94</v>
      </c>
      <c r="F42" s="131">
        <v>12</v>
      </c>
      <c r="G42" s="130" t="s">
        <v>95</v>
      </c>
      <c r="H42" s="131">
        <v>11</v>
      </c>
      <c r="I42" s="134" t="s">
        <v>96</v>
      </c>
      <c r="J42" s="141">
        <v>0.99</v>
      </c>
      <c r="K42" s="131">
        <v>10</v>
      </c>
      <c r="L42" s="131" t="s">
        <v>97</v>
      </c>
      <c r="M42" s="131">
        <f>SUM(K42:K47)</f>
        <v>17.68</v>
      </c>
      <c r="N42" s="145"/>
    </row>
    <row r="43" s="121" customFormat="1" ht="25" customHeight="1" spans="1:14">
      <c r="A43" s="131"/>
      <c r="B43" s="131"/>
      <c r="C43" s="131"/>
      <c r="D43" s="131"/>
      <c r="E43" s="131"/>
      <c r="F43" s="131"/>
      <c r="G43" s="130"/>
      <c r="H43" s="131">
        <v>1</v>
      </c>
      <c r="I43" s="134" t="s">
        <v>98</v>
      </c>
      <c r="J43" s="141">
        <v>0.87</v>
      </c>
      <c r="K43" s="131">
        <f t="shared" ref="K43:K47" si="0">H43*J43</f>
        <v>0.87</v>
      </c>
      <c r="L43" s="131" t="s">
        <v>97</v>
      </c>
      <c r="M43" s="131"/>
      <c r="N43" s="145"/>
    </row>
    <row r="44" s="121" customFormat="1" ht="25" customHeight="1" spans="1:14">
      <c r="A44" s="131"/>
      <c r="B44" s="131"/>
      <c r="C44" s="131" t="s">
        <v>99</v>
      </c>
      <c r="D44" s="131">
        <v>13</v>
      </c>
      <c r="E44" s="131" t="s">
        <v>100</v>
      </c>
      <c r="F44" s="131">
        <v>13</v>
      </c>
      <c r="G44" s="130" t="s">
        <v>95</v>
      </c>
      <c r="H44" s="131">
        <v>12</v>
      </c>
      <c r="I44" s="134" t="s">
        <v>101</v>
      </c>
      <c r="J44" s="146">
        <v>0</v>
      </c>
      <c r="K44" s="131">
        <v>0</v>
      </c>
      <c r="L44" s="130" t="s">
        <v>102</v>
      </c>
      <c r="M44" s="131"/>
      <c r="N44" s="145"/>
    </row>
    <row r="45" s="121" customFormat="1" ht="31" customHeight="1" spans="1:14">
      <c r="A45" s="131"/>
      <c r="B45" s="131"/>
      <c r="C45" s="131"/>
      <c r="D45" s="131"/>
      <c r="E45" s="131"/>
      <c r="F45" s="131"/>
      <c r="G45" s="130"/>
      <c r="H45" s="131">
        <v>1</v>
      </c>
      <c r="I45" s="134" t="s">
        <v>103</v>
      </c>
      <c r="J45" s="146">
        <v>0</v>
      </c>
      <c r="K45" s="131">
        <f t="shared" si="0"/>
        <v>0</v>
      </c>
      <c r="L45" s="130"/>
      <c r="M45" s="131"/>
      <c r="N45" s="145"/>
    </row>
    <row r="46" s="121" customFormat="1" ht="25" customHeight="1" spans="1:14">
      <c r="A46" s="131"/>
      <c r="B46" s="131"/>
      <c r="C46" s="131" t="s">
        <v>104</v>
      </c>
      <c r="D46" s="131">
        <v>10</v>
      </c>
      <c r="E46" s="131" t="s">
        <v>105</v>
      </c>
      <c r="F46" s="131">
        <v>10</v>
      </c>
      <c r="G46" s="130"/>
      <c r="H46" s="131">
        <v>9</v>
      </c>
      <c r="I46" s="134" t="s">
        <v>106</v>
      </c>
      <c r="J46" s="141">
        <v>0.66</v>
      </c>
      <c r="K46" s="131">
        <f>J46*H46</f>
        <v>5.94</v>
      </c>
      <c r="L46" s="131" t="s">
        <v>97</v>
      </c>
      <c r="M46" s="131"/>
      <c r="N46" s="145"/>
    </row>
    <row r="47" s="121" customFormat="1" ht="25" customHeight="1" spans="1:14">
      <c r="A47" s="131"/>
      <c r="B47" s="131"/>
      <c r="C47" s="131"/>
      <c r="D47" s="131"/>
      <c r="E47" s="131"/>
      <c r="F47" s="131"/>
      <c r="G47" s="130"/>
      <c r="H47" s="131">
        <v>1</v>
      </c>
      <c r="I47" s="134" t="s">
        <v>107</v>
      </c>
      <c r="J47" s="141">
        <v>0.87</v>
      </c>
      <c r="K47" s="131">
        <f t="shared" si="0"/>
        <v>0.87</v>
      </c>
      <c r="L47" s="131" t="s">
        <v>97</v>
      </c>
      <c r="M47" s="131"/>
      <c r="N47" s="145"/>
    </row>
    <row r="48" s="121" customFormat="1" ht="30" customHeight="1" spans="1:14">
      <c r="A48" s="131" t="s">
        <v>108</v>
      </c>
      <c r="B48" s="131">
        <v>25</v>
      </c>
      <c r="C48" s="131" t="s">
        <v>109</v>
      </c>
      <c r="D48" s="131">
        <v>25</v>
      </c>
      <c r="E48" s="131" t="s">
        <v>110</v>
      </c>
      <c r="F48" s="131">
        <v>20</v>
      </c>
      <c r="G48" s="130"/>
      <c r="H48" s="131">
        <v>4</v>
      </c>
      <c r="I48" s="134" t="s">
        <v>111</v>
      </c>
      <c r="J48" s="141" t="s">
        <v>112</v>
      </c>
      <c r="K48" s="131">
        <v>4</v>
      </c>
      <c r="L48" s="131"/>
      <c r="M48" s="131">
        <f>SUM(K48:K53)</f>
        <v>23</v>
      </c>
      <c r="N48" s="145"/>
    </row>
    <row r="49" s="121" customFormat="1" ht="41.1" customHeight="1" spans="1:14">
      <c r="A49" s="131"/>
      <c r="B49" s="131"/>
      <c r="C49" s="131"/>
      <c r="D49" s="131"/>
      <c r="E49" s="131"/>
      <c r="F49" s="131"/>
      <c r="G49" s="130"/>
      <c r="H49" s="131">
        <v>4</v>
      </c>
      <c r="I49" s="134" t="s">
        <v>113</v>
      </c>
      <c r="J49" s="141" t="s">
        <v>112</v>
      </c>
      <c r="K49" s="131">
        <v>4</v>
      </c>
      <c r="L49" s="131"/>
      <c r="M49" s="131"/>
      <c r="N49" s="145"/>
    </row>
    <row r="50" s="121" customFormat="1" ht="33" customHeight="1" spans="1:14">
      <c r="A50" s="131"/>
      <c r="B50" s="131"/>
      <c r="C50" s="131"/>
      <c r="D50" s="131"/>
      <c r="E50" s="131"/>
      <c r="F50" s="131"/>
      <c r="G50" s="130"/>
      <c r="H50" s="131">
        <v>4</v>
      </c>
      <c r="I50" s="134" t="s">
        <v>114</v>
      </c>
      <c r="J50" s="141" t="s">
        <v>112</v>
      </c>
      <c r="K50" s="131">
        <v>4</v>
      </c>
      <c r="L50" s="131"/>
      <c r="M50" s="131"/>
      <c r="N50" s="145"/>
    </row>
    <row r="51" s="121" customFormat="1" ht="43" customHeight="1" spans="1:14">
      <c r="A51" s="131"/>
      <c r="B51" s="131"/>
      <c r="C51" s="131"/>
      <c r="D51" s="131"/>
      <c r="E51" s="131"/>
      <c r="F51" s="131"/>
      <c r="G51" s="130"/>
      <c r="H51" s="131">
        <v>4</v>
      </c>
      <c r="I51" s="133" t="s">
        <v>115</v>
      </c>
      <c r="J51" s="141" t="s">
        <v>112</v>
      </c>
      <c r="K51" s="131">
        <v>4</v>
      </c>
      <c r="L51" s="131"/>
      <c r="M51" s="131"/>
      <c r="N51" s="145"/>
    </row>
    <row r="52" s="121" customFormat="1" ht="43" customHeight="1" spans="1:14">
      <c r="A52" s="131"/>
      <c r="B52" s="131"/>
      <c r="C52" s="131"/>
      <c r="D52" s="131"/>
      <c r="E52" s="131"/>
      <c r="F52" s="131"/>
      <c r="G52" s="130"/>
      <c r="H52" s="131">
        <v>4</v>
      </c>
      <c r="I52" s="133" t="s">
        <v>116</v>
      </c>
      <c r="J52" s="141" t="s">
        <v>117</v>
      </c>
      <c r="K52" s="131">
        <v>2</v>
      </c>
      <c r="L52" s="131"/>
      <c r="M52" s="131"/>
      <c r="N52" s="145"/>
    </row>
    <row r="53" s="121" customFormat="1" ht="47" customHeight="1" spans="1:14">
      <c r="A53" s="131"/>
      <c r="B53" s="131"/>
      <c r="C53" s="131"/>
      <c r="D53" s="131"/>
      <c r="E53" s="131" t="s">
        <v>118</v>
      </c>
      <c r="F53" s="131">
        <v>5</v>
      </c>
      <c r="G53" s="130" t="s">
        <v>119</v>
      </c>
      <c r="H53" s="131">
        <v>5</v>
      </c>
      <c r="I53" s="130" t="s">
        <v>120</v>
      </c>
      <c r="J53" s="141" t="s">
        <v>121</v>
      </c>
      <c r="K53" s="131">
        <v>5</v>
      </c>
      <c r="L53" s="130"/>
      <c r="M53" s="131"/>
      <c r="N53" s="145"/>
    </row>
    <row r="54" s="119" customFormat="1" ht="27" customHeight="1" spans="1:14">
      <c r="A54" s="131" t="s">
        <v>122</v>
      </c>
      <c r="B54" s="131">
        <f t="shared" ref="B54:F54" si="1">SUM(B6:B53)</f>
        <v>100</v>
      </c>
      <c r="C54" s="134"/>
      <c r="D54" s="131">
        <f t="shared" si="1"/>
        <v>100</v>
      </c>
      <c r="E54" s="131"/>
      <c r="F54" s="131">
        <f t="shared" si="1"/>
        <v>100</v>
      </c>
      <c r="G54" s="134"/>
      <c r="H54" s="131">
        <f t="shared" ref="H54:M54" si="2">SUM(H6:H53)</f>
        <v>100</v>
      </c>
      <c r="I54" s="134"/>
      <c r="J54" s="141"/>
      <c r="K54" s="131">
        <f t="shared" si="2"/>
        <v>71.68</v>
      </c>
      <c r="L54" s="131"/>
      <c r="M54" s="131">
        <f t="shared" si="2"/>
        <v>71.68</v>
      </c>
      <c r="N54" s="142"/>
    </row>
    <row r="55" s="121" customFormat="1" ht="14" spans="4:14">
      <c r="D55" s="135"/>
      <c r="E55" s="135"/>
      <c r="J55" s="147"/>
      <c r="K55" s="135"/>
      <c r="L55" s="135"/>
      <c r="M55" s="135"/>
      <c r="N55" s="135"/>
    </row>
    <row r="56" s="118" customFormat="1" ht="21" spans="1:14">
      <c r="A56" s="122"/>
      <c r="B56" s="122"/>
      <c r="C56" s="122"/>
      <c r="D56" s="123"/>
      <c r="E56" s="123"/>
      <c r="F56" s="122"/>
      <c r="G56" s="122"/>
      <c r="H56" s="122"/>
      <c r="I56" s="148"/>
      <c r="J56" s="124"/>
      <c r="K56" s="123"/>
      <c r="L56" s="123"/>
      <c r="M56" s="123"/>
      <c r="N56" s="125"/>
    </row>
    <row r="57" s="118" customFormat="1" spans="1:14">
      <c r="A57" s="122"/>
      <c r="B57" s="122"/>
      <c r="C57" s="122"/>
      <c r="D57" s="123"/>
      <c r="E57" s="123"/>
      <c r="F57" s="122"/>
      <c r="G57" s="122"/>
      <c r="H57" s="122"/>
      <c r="I57" s="122"/>
      <c r="J57" s="124"/>
      <c r="K57" s="123"/>
      <c r="L57" s="123"/>
      <c r="M57" s="123"/>
      <c r="N57" s="125"/>
    </row>
    <row r="58" s="118" customFormat="1" spans="1:14">
      <c r="A58" s="122"/>
      <c r="B58" s="122"/>
      <c r="C58" s="122"/>
      <c r="D58" s="123"/>
      <c r="E58" s="123"/>
      <c r="F58" s="122"/>
      <c r="G58" s="122"/>
      <c r="H58" s="122"/>
      <c r="I58" s="122"/>
      <c r="J58" s="124"/>
      <c r="K58" s="123"/>
      <c r="L58" s="123"/>
      <c r="M58" s="123"/>
      <c r="N58" s="125"/>
    </row>
    <row r="59" s="118" customFormat="1" spans="1:14">
      <c r="A59" s="122"/>
      <c r="B59" s="122"/>
      <c r="C59" s="122"/>
      <c r="D59" s="123"/>
      <c r="E59" s="123"/>
      <c r="F59" s="122"/>
      <c r="G59" s="122"/>
      <c r="H59" s="122"/>
      <c r="I59" s="122"/>
      <c r="J59" s="124"/>
      <c r="K59" s="123"/>
      <c r="L59" s="123"/>
      <c r="M59" s="123"/>
      <c r="N59" s="125"/>
    </row>
    <row r="60" s="118" customFormat="1" spans="1:14">
      <c r="A60" s="122"/>
      <c r="B60" s="122"/>
      <c r="C60" s="122"/>
      <c r="D60" s="123"/>
      <c r="E60" s="123"/>
      <c r="F60" s="122"/>
      <c r="G60" s="122"/>
      <c r="H60" s="122"/>
      <c r="I60" s="122"/>
      <c r="J60" s="124"/>
      <c r="K60" s="123"/>
      <c r="L60" s="123"/>
      <c r="M60" s="123"/>
      <c r="N60" s="125"/>
    </row>
    <row r="61" s="118" customFormat="1" spans="1:14">
      <c r="A61" s="122"/>
      <c r="B61" s="122"/>
      <c r="C61" s="122"/>
      <c r="D61" s="123"/>
      <c r="E61" s="123"/>
      <c r="F61" s="122"/>
      <c r="G61" s="122"/>
      <c r="H61" s="122"/>
      <c r="I61" s="122"/>
      <c r="J61" s="124"/>
      <c r="K61" s="123"/>
      <c r="L61" s="123"/>
      <c r="M61" s="123"/>
      <c r="N61" s="125"/>
    </row>
    <row r="62" s="118" customFormat="1" spans="10:13">
      <c r="J62" s="124"/>
      <c r="K62" s="149"/>
      <c r="L62" s="123"/>
      <c r="M62" s="123"/>
    </row>
    <row r="63" s="118" customFormat="1" spans="10:13">
      <c r="J63" s="124"/>
      <c r="K63" s="123"/>
      <c r="L63" s="149"/>
      <c r="M63" s="150"/>
    </row>
    <row r="64" s="118" customFormat="1" spans="1:14">
      <c r="A64" s="122"/>
      <c r="B64" s="122"/>
      <c r="C64" s="122"/>
      <c r="D64" s="123"/>
      <c r="E64" s="123"/>
      <c r="F64" s="122"/>
      <c r="G64" s="122"/>
      <c r="H64" s="122"/>
      <c r="I64" s="122"/>
      <c r="J64" s="124"/>
      <c r="K64" s="123"/>
      <c r="L64" s="123"/>
      <c r="M64" s="123"/>
      <c r="N64" s="125"/>
    </row>
    <row r="65" s="118" customFormat="1" spans="1:14">
      <c r="A65" s="122"/>
      <c r="B65" s="122"/>
      <c r="C65" s="122"/>
      <c r="D65" s="123"/>
      <c r="E65" s="123"/>
      <c r="F65" s="122"/>
      <c r="G65" s="122"/>
      <c r="H65" s="122"/>
      <c r="I65" s="122"/>
      <c r="J65" s="124"/>
      <c r="K65" s="123"/>
      <c r="L65" s="123"/>
      <c r="M65" s="123"/>
      <c r="N65" s="125"/>
    </row>
    <row r="66" s="118" customFormat="1" spans="10:13">
      <c r="J66" s="124"/>
      <c r="K66" s="123"/>
      <c r="L66" s="123"/>
      <c r="M66" s="152"/>
    </row>
    <row r="67" s="118" customFormat="1" ht="21" spans="10:13">
      <c r="J67" s="153"/>
      <c r="K67" s="123"/>
      <c r="L67" s="123"/>
      <c r="M67" s="123"/>
    </row>
    <row r="68" s="118" customFormat="1" ht="21" spans="10:13">
      <c r="J68" s="153"/>
      <c r="K68" s="123"/>
      <c r="L68" s="123"/>
      <c r="M68" s="123"/>
    </row>
  </sheetData>
  <mergeCells count="71">
    <mergeCell ref="A2:N2"/>
    <mergeCell ref="A4:B4"/>
    <mergeCell ref="C4:D4"/>
    <mergeCell ref="E4:F4"/>
    <mergeCell ref="A6:A25"/>
    <mergeCell ref="A26:A41"/>
    <mergeCell ref="A42:A47"/>
    <mergeCell ref="A48:A53"/>
    <mergeCell ref="B6:B25"/>
    <mergeCell ref="B26:B41"/>
    <mergeCell ref="B42:B47"/>
    <mergeCell ref="B48:B53"/>
    <mergeCell ref="C6:C12"/>
    <mergeCell ref="C13:C19"/>
    <mergeCell ref="C20:C25"/>
    <mergeCell ref="C26:C31"/>
    <mergeCell ref="C32:C41"/>
    <mergeCell ref="C42:C43"/>
    <mergeCell ref="C44:C45"/>
    <mergeCell ref="C46:C47"/>
    <mergeCell ref="C48:C53"/>
    <mergeCell ref="D6:D12"/>
    <mergeCell ref="D13:D19"/>
    <mergeCell ref="D20:D25"/>
    <mergeCell ref="D26:D31"/>
    <mergeCell ref="D32:D41"/>
    <mergeCell ref="D42:D43"/>
    <mergeCell ref="D44:D45"/>
    <mergeCell ref="D46:D47"/>
    <mergeCell ref="D48:D53"/>
    <mergeCell ref="E6:E9"/>
    <mergeCell ref="E10:E12"/>
    <mergeCell ref="E13:E16"/>
    <mergeCell ref="E17:E19"/>
    <mergeCell ref="E20:E23"/>
    <mergeCell ref="E24:E25"/>
    <mergeCell ref="E28:E31"/>
    <mergeCell ref="E32:E35"/>
    <mergeCell ref="E36:E39"/>
    <mergeCell ref="E40:E41"/>
    <mergeCell ref="E42:E43"/>
    <mergeCell ref="E44:E45"/>
    <mergeCell ref="E46:E47"/>
    <mergeCell ref="E48:E52"/>
    <mergeCell ref="F6:F9"/>
    <mergeCell ref="F10:F12"/>
    <mergeCell ref="F13:F16"/>
    <mergeCell ref="F17:F19"/>
    <mergeCell ref="F20:F23"/>
    <mergeCell ref="F24:F25"/>
    <mergeCell ref="F28:F31"/>
    <mergeCell ref="F32:F35"/>
    <mergeCell ref="F36:F39"/>
    <mergeCell ref="F40:F41"/>
    <mergeCell ref="F42:F43"/>
    <mergeCell ref="F44:F45"/>
    <mergeCell ref="F46:F47"/>
    <mergeCell ref="F48:F52"/>
    <mergeCell ref="H4:H5"/>
    <mergeCell ref="I4:I5"/>
    <mergeCell ref="J4:J5"/>
    <mergeCell ref="K4:K5"/>
    <mergeCell ref="L4:L5"/>
    <mergeCell ref="L40:L41"/>
    <mergeCell ref="L44:L45"/>
    <mergeCell ref="M4:M5"/>
    <mergeCell ref="M6:M25"/>
    <mergeCell ref="M26:M41"/>
    <mergeCell ref="M42:M47"/>
    <mergeCell ref="M48:M53"/>
    <mergeCell ref="N4:N5"/>
  </mergeCells>
  <printOptions horizontalCentered="1"/>
  <pageMargins left="0.109722222222222" right="0.109722222222222" top="0.554861111111111" bottom="0.357638888888889" header="0.298611111111111" footer="0.298611111111111"/>
  <pageSetup paperSize="9" scale="85" orientation="portrait"/>
  <headerFooter/>
  <rowBreaks count="2" manualBreakCount="2">
    <brk id="25" max="13" man="1"/>
    <brk id="41" max="13" man="1"/>
  </rowBreaks>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D8"/>
  <sheetViews>
    <sheetView workbookViewId="0">
      <selection activeCell="E15" sqref="E15"/>
    </sheetView>
  </sheetViews>
  <sheetFormatPr defaultColWidth="8.75454545454545" defaultRowHeight="14" outlineLevelRow="7" outlineLevelCol="3"/>
  <cols>
    <col min="1" max="1" width="17.5" customWidth="1"/>
    <col min="2" max="2" width="21.8727272727273" customWidth="1"/>
    <col min="3" max="3" width="11.2545454545455" customWidth="1"/>
    <col min="4" max="4" width="9.5"/>
  </cols>
  <sheetData>
    <row r="1" spans="1:1">
      <c r="A1" t="s">
        <v>576</v>
      </c>
    </row>
    <row r="2" spans="1:4">
      <c r="A2" s="12" t="s">
        <v>577</v>
      </c>
      <c r="B2" s="12" t="s">
        <v>578</v>
      </c>
      <c r="C2" s="12" t="s">
        <v>579</v>
      </c>
      <c r="D2" s="12" t="s">
        <v>580</v>
      </c>
    </row>
    <row r="3" spans="1:4">
      <c r="A3" s="13" t="s">
        <v>581</v>
      </c>
      <c r="B3" s="14">
        <v>1642.13</v>
      </c>
      <c r="C3" s="15">
        <v>44144</v>
      </c>
      <c r="D3" s="16">
        <v>400</v>
      </c>
    </row>
    <row r="4" spans="1:4">
      <c r="A4" s="13"/>
      <c r="B4" s="14"/>
      <c r="C4" s="15">
        <v>44174</v>
      </c>
      <c r="D4" s="16">
        <v>321</v>
      </c>
    </row>
    <row r="5" spans="1:4">
      <c r="A5" s="12" t="s">
        <v>122</v>
      </c>
      <c r="B5" s="12">
        <f>SUM(B3:B4)</f>
        <v>1642.13</v>
      </c>
      <c r="C5" s="12"/>
      <c r="D5" s="17">
        <f>SUM(D3:D4)</f>
        <v>721</v>
      </c>
    </row>
    <row r="6" spans="3:4">
      <c r="C6" s="18">
        <v>44376</v>
      </c>
      <c r="D6" s="8">
        <v>200</v>
      </c>
    </row>
    <row r="7" spans="3:4">
      <c r="C7" s="18">
        <v>44456</v>
      </c>
      <c r="D7" s="8">
        <v>50</v>
      </c>
    </row>
    <row r="8" spans="3:4">
      <c r="C8" t="s">
        <v>582</v>
      </c>
      <c r="D8" s="19">
        <f>D5+D6+D7</f>
        <v>971</v>
      </c>
    </row>
  </sheetData>
  <mergeCells count="2">
    <mergeCell ref="A3:A4"/>
    <mergeCell ref="B3:B4"/>
  </mergeCell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L11"/>
  <sheetViews>
    <sheetView workbookViewId="0">
      <selection activeCell="I3" sqref="I3"/>
    </sheetView>
  </sheetViews>
  <sheetFormatPr defaultColWidth="8.75454545454545" defaultRowHeight="14"/>
  <cols>
    <col min="2" max="2" width="20.8727272727273" customWidth="1"/>
    <col min="3" max="3" width="15.1272727272727" customWidth="1"/>
    <col min="4" max="4" width="11.1272727272727" customWidth="1"/>
    <col min="5" max="6" width="12.6272727272727" customWidth="1"/>
    <col min="7" max="7" width="27.5" customWidth="1"/>
    <col min="8" max="8" width="10.1272727272727" style="8" customWidth="1"/>
    <col min="9" max="9" width="25.8727272727273" customWidth="1"/>
    <col min="10" max="10" width="8.75454545454545" style="8"/>
  </cols>
  <sheetData>
    <row r="1" spans="1:12">
      <c r="A1" t="s">
        <v>583</v>
      </c>
      <c r="B1" s="9" t="s">
        <v>584</v>
      </c>
      <c r="C1" t="s">
        <v>585</v>
      </c>
      <c r="D1" t="s">
        <v>586</v>
      </c>
      <c r="E1" t="s">
        <v>587</v>
      </c>
      <c r="F1" t="s">
        <v>578</v>
      </c>
      <c r="G1" t="s">
        <v>588</v>
      </c>
      <c r="H1" s="8" t="s">
        <v>589</v>
      </c>
      <c r="I1" t="s">
        <v>590</v>
      </c>
      <c r="J1" s="8" t="s">
        <v>589</v>
      </c>
      <c r="K1" t="s">
        <v>13</v>
      </c>
      <c r="L1" t="s">
        <v>591</v>
      </c>
    </row>
    <row r="2" ht="126" spans="1:12">
      <c r="A2" s="9" t="s">
        <v>554</v>
      </c>
      <c r="B2" s="10" t="s">
        <v>592</v>
      </c>
      <c r="C2" s="9" t="s">
        <v>593</v>
      </c>
      <c r="D2" s="10" t="s">
        <v>594</v>
      </c>
      <c r="E2" s="9">
        <v>1687.41</v>
      </c>
      <c r="F2" s="9">
        <v>1642.132266</v>
      </c>
      <c r="G2" s="9">
        <v>890.07</v>
      </c>
      <c r="H2" s="8">
        <f>890.07/1642.13*100</f>
        <v>54.2021642622691</v>
      </c>
      <c r="I2">
        <v>1480.18</v>
      </c>
      <c r="J2" s="8">
        <f>1480.18/1642.14*100</f>
        <v>90.1372599169377</v>
      </c>
      <c r="K2" s="9" t="s">
        <v>595</v>
      </c>
      <c r="L2" s="9" t="s">
        <v>596</v>
      </c>
    </row>
    <row r="3" ht="42" spans="3:9">
      <c r="C3" t="s">
        <v>597</v>
      </c>
      <c r="D3" s="9" t="s">
        <v>598</v>
      </c>
      <c r="F3">
        <v>22.9898</v>
      </c>
      <c r="I3" s="11">
        <f>I2/E2</f>
        <v>0.877190487196354</v>
      </c>
    </row>
    <row r="4" ht="56" spans="3:6">
      <c r="C4" s="9" t="s">
        <v>599</v>
      </c>
      <c r="D4" s="9" t="s">
        <v>600</v>
      </c>
      <c r="F4">
        <v>15</v>
      </c>
    </row>
    <row r="5" spans="3:6">
      <c r="C5" t="s">
        <v>601</v>
      </c>
      <c r="D5" t="s">
        <v>602</v>
      </c>
      <c r="F5">
        <v>10</v>
      </c>
    </row>
    <row r="6" ht="28" spans="3:6">
      <c r="C6" t="s">
        <v>601</v>
      </c>
      <c r="D6" s="9" t="s">
        <v>603</v>
      </c>
      <c r="F6" t="s">
        <v>604</v>
      </c>
    </row>
    <row r="7" ht="28" spans="3:6">
      <c r="C7" t="s">
        <v>601</v>
      </c>
      <c r="D7" s="9" t="s">
        <v>605</v>
      </c>
      <c r="F7" t="s">
        <v>606</v>
      </c>
    </row>
    <row r="8" ht="42" spans="3:6">
      <c r="C8" s="9" t="s">
        <v>607</v>
      </c>
      <c r="D8" s="9" t="s">
        <v>608</v>
      </c>
      <c r="F8">
        <v>29.3</v>
      </c>
    </row>
    <row r="9" ht="28" spans="3:6">
      <c r="C9" t="s">
        <v>609</v>
      </c>
      <c r="D9" s="9" t="s">
        <v>610</v>
      </c>
      <c r="F9" t="s">
        <v>611</v>
      </c>
    </row>
    <row r="10" ht="42" spans="3:6">
      <c r="C10" t="s">
        <v>612</v>
      </c>
      <c r="D10" s="9" t="s">
        <v>613</v>
      </c>
      <c r="F10">
        <v>1.5</v>
      </c>
    </row>
    <row r="11" ht="42" spans="3:6">
      <c r="C11" t="s">
        <v>614</v>
      </c>
      <c r="D11" s="9" t="s">
        <v>615</v>
      </c>
      <c r="F11">
        <v>1.656</v>
      </c>
    </row>
  </sheetData>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B3:F10"/>
  <sheetViews>
    <sheetView workbookViewId="0">
      <selection activeCell="I8" sqref="I8"/>
    </sheetView>
  </sheetViews>
  <sheetFormatPr defaultColWidth="9" defaultRowHeight="14" outlineLevelCol="5"/>
  <cols>
    <col min="2" max="2" width="23.3727272727273" customWidth="1"/>
    <col min="3" max="3" width="14.2545454545455" customWidth="1"/>
    <col min="4" max="6" width="19" customWidth="1"/>
  </cols>
  <sheetData>
    <row r="3" ht="24.95" customHeight="1" spans="2:6">
      <c r="B3" s="1" t="s">
        <v>542</v>
      </c>
      <c r="C3" s="1" t="s">
        <v>577</v>
      </c>
      <c r="D3" s="1" t="s">
        <v>616</v>
      </c>
      <c r="E3" s="1" t="s">
        <v>617</v>
      </c>
      <c r="F3" s="1" t="s">
        <v>618</v>
      </c>
    </row>
    <row r="4" ht="24.95" customHeight="1" spans="2:6">
      <c r="B4" s="2" t="s">
        <v>619</v>
      </c>
      <c r="C4" s="3" t="s">
        <v>581</v>
      </c>
      <c r="D4" s="4">
        <v>651.66</v>
      </c>
      <c r="E4" s="4">
        <v>996.09</v>
      </c>
      <c r="F4" s="2"/>
    </row>
    <row r="5" ht="24.95" customHeight="1" spans="2:6">
      <c r="B5" s="2" t="s">
        <v>620</v>
      </c>
      <c r="C5" s="5"/>
      <c r="D5" s="4">
        <v>163.71</v>
      </c>
      <c r="E5" s="4"/>
      <c r="F5" s="2"/>
    </row>
    <row r="6" ht="24.95" customHeight="1" spans="2:6">
      <c r="B6" s="2" t="s">
        <v>621</v>
      </c>
      <c r="C6" s="5"/>
      <c r="D6" s="4">
        <v>240.42</v>
      </c>
      <c r="E6" s="4">
        <v>173.04</v>
      </c>
      <c r="F6" s="2"/>
    </row>
    <row r="7" ht="24.95" customHeight="1" spans="2:6">
      <c r="B7" s="2" t="s">
        <v>622</v>
      </c>
      <c r="C7" s="5"/>
      <c r="D7" s="4">
        <v>61.8</v>
      </c>
      <c r="E7" s="4">
        <v>20.66</v>
      </c>
      <c r="F7" s="2"/>
    </row>
    <row r="8" ht="24.95" customHeight="1" spans="2:6">
      <c r="B8" s="2" t="s">
        <v>623</v>
      </c>
      <c r="C8" s="5"/>
      <c r="D8" s="4">
        <v>346.46</v>
      </c>
      <c r="E8" s="4">
        <v>290.38</v>
      </c>
      <c r="F8" s="2"/>
    </row>
    <row r="9" ht="24.95" customHeight="1" spans="2:6">
      <c r="B9" s="2" t="s">
        <v>624</v>
      </c>
      <c r="C9" s="6"/>
      <c r="D9" s="4">
        <v>178.08</v>
      </c>
      <c r="E9" s="4"/>
      <c r="F9" s="2"/>
    </row>
    <row r="10" ht="24.95" customHeight="1" spans="2:6">
      <c r="B10" s="1" t="s">
        <v>122</v>
      </c>
      <c r="C10" s="1"/>
      <c r="D10" s="7">
        <f>SUM(D4:D9)</f>
        <v>1642.13</v>
      </c>
      <c r="E10" s="7">
        <f>SUM(E4:E9)</f>
        <v>1480.17</v>
      </c>
      <c r="F10" s="1"/>
    </row>
  </sheetData>
  <mergeCells count="1">
    <mergeCell ref="C4:C9"/>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2"/>
  <sheetViews>
    <sheetView workbookViewId="0">
      <selection activeCell="M9" sqref="M9"/>
    </sheetView>
  </sheetViews>
  <sheetFormatPr defaultColWidth="8.72727272727273" defaultRowHeight="14" outlineLevelCol="7"/>
  <cols>
    <col min="1" max="1" width="4.81818181818182" customWidth="1"/>
    <col min="2" max="2" width="14.1818181818182" customWidth="1"/>
    <col min="3" max="3" width="27.4545454545455" customWidth="1"/>
    <col min="4" max="4" width="8.81818181818182" customWidth="1"/>
    <col min="5" max="5" width="6.45454545454545" customWidth="1"/>
    <col min="6" max="6" width="9.18181818181818" customWidth="1"/>
    <col min="7" max="7" width="8.72727272727273" customWidth="1"/>
    <col min="8" max="8" width="9.72727272727273" customWidth="1"/>
  </cols>
  <sheetData>
    <row r="1" ht="15" spans="1:1">
      <c r="A1" s="92" t="s">
        <v>123</v>
      </c>
    </row>
    <row r="2" ht="21" spans="1:8">
      <c r="A2" s="109" t="s">
        <v>124</v>
      </c>
      <c r="B2" s="109"/>
      <c r="C2" s="109"/>
      <c r="D2" s="109"/>
      <c r="E2" s="109"/>
      <c r="F2" s="109"/>
      <c r="G2" s="109"/>
      <c r="H2" s="109"/>
    </row>
    <row r="3" customFormat="1" ht="17" customHeight="1" spans="1:8">
      <c r="A3" s="109"/>
      <c r="B3" s="109"/>
      <c r="C3" s="109"/>
      <c r="D3" s="109"/>
      <c r="E3" s="109"/>
      <c r="F3" s="109"/>
      <c r="G3" s="109"/>
      <c r="H3" s="108" t="s">
        <v>125</v>
      </c>
    </row>
    <row r="4" s="91" customFormat="1" spans="1:8">
      <c r="A4" s="110" t="s">
        <v>126</v>
      </c>
      <c r="B4" s="111" t="s">
        <v>127</v>
      </c>
      <c r="C4" s="110" t="s">
        <v>128</v>
      </c>
      <c r="D4" s="112" t="s">
        <v>129</v>
      </c>
      <c r="E4" s="110"/>
      <c r="F4" s="110"/>
      <c r="G4" s="110"/>
      <c r="H4" s="112"/>
    </row>
    <row r="5" s="91" customFormat="1" ht="36" customHeight="1" spans="1:8">
      <c r="A5" s="113"/>
      <c r="B5" s="114"/>
      <c r="C5" s="113"/>
      <c r="D5" s="115" t="s">
        <v>130</v>
      </c>
      <c r="E5" s="97" t="s">
        <v>131</v>
      </c>
      <c r="F5" s="97" t="s">
        <v>132</v>
      </c>
      <c r="G5" s="97" t="s">
        <v>133</v>
      </c>
      <c r="H5" s="115" t="s">
        <v>134</v>
      </c>
    </row>
    <row r="6" ht="28" spans="1:8">
      <c r="A6" s="110">
        <v>1</v>
      </c>
      <c r="B6" s="97" t="s">
        <v>135</v>
      </c>
      <c r="C6" s="113" t="s">
        <v>136</v>
      </c>
      <c r="D6" s="45">
        <v>8.900739</v>
      </c>
      <c r="E6" s="113"/>
      <c r="F6" s="45">
        <v>1.8692</v>
      </c>
      <c r="G6" s="45">
        <v>0</v>
      </c>
      <c r="H6" s="45">
        <v>1.8692</v>
      </c>
    </row>
    <row r="7" spans="1:8">
      <c r="A7" s="110">
        <v>2</v>
      </c>
      <c r="B7" s="98" t="s">
        <v>137</v>
      </c>
      <c r="C7" s="113" t="s">
        <v>138</v>
      </c>
      <c r="D7" s="45">
        <v>0.145594</v>
      </c>
      <c r="E7" s="113"/>
      <c r="F7" s="45">
        <v>0.0437</v>
      </c>
      <c r="G7" s="45">
        <v>0</v>
      </c>
      <c r="H7" s="45">
        <v>0.0437</v>
      </c>
    </row>
    <row r="8" spans="1:8">
      <c r="A8" s="110">
        <v>3</v>
      </c>
      <c r="B8" s="116"/>
      <c r="C8" s="113" t="s">
        <v>139</v>
      </c>
      <c r="D8" s="45">
        <v>0</v>
      </c>
      <c r="E8" s="113"/>
      <c r="F8" s="45">
        <v>0</v>
      </c>
      <c r="G8" s="45">
        <v>0</v>
      </c>
      <c r="H8" s="45">
        <v>0</v>
      </c>
    </row>
    <row r="9" spans="1:8">
      <c r="A9" s="110">
        <v>4</v>
      </c>
      <c r="B9" s="116"/>
      <c r="C9" s="113" t="s">
        <v>140</v>
      </c>
      <c r="D9" s="45">
        <v>0</v>
      </c>
      <c r="E9" s="113"/>
      <c r="F9" s="45">
        <v>0</v>
      </c>
      <c r="G9" s="45">
        <v>0</v>
      </c>
      <c r="H9" s="45">
        <v>0</v>
      </c>
    </row>
    <row r="10" spans="1:8">
      <c r="A10" s="110">
        <v>5</v>
      </c>
      <c r="B10" s="116"/>
      <c r="C10" s="113" t="s">
        <v>141</v>
      </c>
      <c r="D10" s="45">
        <v>0</v>
      </c>
      <c r="E10" s="113"/>
      <c r="F10" s="45">
        <v>0</v>
      </c>
      <c r="G10" s="45">
        <v>0</v>
      </c>
      <c r="H10" s="45">
        <v>0</v>
      </c>
    </row>
    <row r="11" spans="1:8">
      <c r="A11" s="110">
        <v>6</v>
      </c>
      <c r="B11" s="98" t="s">
        <v>142</v>
      </c>
      <c r="C11" s="113" t="s">
        <v>143</v>
      </c>
      <c r="D11" s="45">
        <v>0.27802</v>
      </c>
      <c r="E11" s="113"/>
      <c r="F11" s="45">
        <v>0.0834</v>
      </c>
      <c r="G11" s="45">
        <v>0</v>
      </c>
      <c r="H11" s="45">
        <v>0.0834</v>
      </c>
    </row>
    <row r="12" spans="1:8">
      <c r="A12" s="110">
        <v>7</v>
      </c>
      <c r="B12" s="100"/>
      <c r="C12" s="113" t="s">
        <v>144</v>
      </c>
      <c r="D12" s="45">
        <v>0</v>
      </c>
      <c r="E12" s="113"/>
      <c r="F12" s="45">
        <v>0</v>
      </c>
      <c r="G12" s="45">
        <v>0</v>
      </c>
      <c r="H12" s="45">
        <v>0</v>
      </c>
    </row>
    <row r="13" spans="1:8">
      <c r="A13" s="110">
        <v>8</v>
      </c>
      <c r="B13" s="98" t="s">
        <v>145</v>
      </c>
      <c r="C13" s="113" t="s">
        <v>146</v>
      </c>
      <c r="D13" s="45">
        <v>0.343245</v>
      </c>
      <c r="E13" s="113"/>
      <c r="F13" s="45">
        <v>0.103</v>
      </c>
      <c r="G13" s="45">
        <v>0</v>
      </c>
      <c r="H13" s="45">
        <v>0.103</v>
      </c>
    </row>
    <row r="14" spans="1:8">
      <c r="A14" s="110">
        <v>9</v>
      </c>
      <c r="B14" s="116"/>
      <c r="C14" s="113" t="s">
        <v>147</v>
      </c>
      <c r="D14" s="45">
        <v>0.04445</v>
      </c>
      <c r="E14" s="113"/>
      <c r="F14" s="45">
        <v>0.0133</v>
      </c>
      <c r="G14" s="45">
        <v>0</v>
      </c>
      <c r="H14" s="45">
        <v>0.0133</v>
      </c>
    </row>
    <row r="15" spans="1:8">
      <c r="A15" s="110">
        <v>10</v>
      </c>
      <c r="B15" s="100"/>
      <c r="C15" s="113" t="s">
        <v>148</v>
      </c>
      <c r="D15" s="45">
        <v>0.085205</v>
      </c>
      <c r="E15" s="113"/>
      <c r="F15" s="45">
        <v>0.0256</v>
      </c>
      <c r="G15" s="45">
        <v>0</v>
      </c>
      <c r="H15" s="45">
        <v>0.0256</v>
      </c>
    </row>
    <row r="16" spans="1:8">
      <c r="A16" s="110">
        <v>11</v>
      </c>
      <c r="B16" s="97" t="s">
        <v>149</v>
      </c>
      <c r="C16" s="113" t="s">
        <v>150</v>
      </c>
      <c r="D16" s="45">
        <v>1.07946</v>
      </c>
      <c r="E16" s="113"/>
      <c r="F16" s="45">
        <v>0.2699</v>
      </c>
      <c r="G16" s="45">
        <v>0</v>
      </c>
      <c r="H16" s="45">
        <v>0.2699</v>
      </c>
    </row>
    <row r="17" spans="1:8">
      <c r="A17" s="110">
        <v>12</v>
      </c>
      <c r="B17" s="98" t="s">
        <v>151</v>
      </c>
      <c r="C17" s="113" t="s">
        <v>152</v>
      </c>
      <c r="D17" s="45">
        <v>0.38492</v>
      </c>
      <c r="E17" s="113"/>
      <c r="F17" s="45">
        <v>0.1155</v>
      </c>
      <c r="G17" s="45">
        <v>0</v>
      </c>
      <c r="H17" s="45">
        <v>0.1155</v>
      </c>
    </row>
    <row r="18" spans="1:8">
      <c r="A18" s="110">
        <v>13</v>
      </c>
      <c r="B18" s="116"/>
      <c r="C18" s="113" t="s">
        <v>153</v>
      </c>
      <c r="D18" s="45">
        <v>6.014173</v>
      </c>
      <c r="E18" s="113"/>
      <c r="F18" s="45">
        <v>1.263</v>
      </c>
      <c r="G18" s="45">
        <v>0</v>
      </c>
      <c r="H18" s="45">
        <v>1.263</v>
      </c>
    </row>
    <row r="19" spans="1:8">
      <c r="A19" s="110">
        <v>14</v>
      </c>
      <c r="B19" s="100"/>
      <c r="C19" s="113" t="s">
        <v>154</v>
      </c>
      <c r="D19" s="45">
        <v>0.17399</v>
      </c>
      <c r="E19" s="113"/>
      <c r="F19" s="45">
        <v>0.0522</v>
      </c>
      <c r="G19" s="45">
        <v>0</v>
      </c>
      <c r="H19" s="45">
        <v>0.0522</v>
      </c>
    </row>
    <row r="20" spans="1:8">
      <c r="A20" s="110">
        <v>15</v>
      </c>
      <c r="B20" s="98" t="s">
        <v>155</v>
      </c>
      <c r="C20" s="113" t="s">
        <v>156</v>
      </c>
      <c r="D20" s="45">
        <v>3.181872</v>
      </c>
      <c r="E20" s="113"/>
      <c r="F20" s="45">
        <v>0.7636</v>
      </c>
      <c r="G20" s="45">
        <v>0</v>
      </c>
      <c r="H20" s="45">
        <v>0.7636</v>
      </c>
    </row>
    <row r="21" spans="1:8">
      <c r="A21" s="110">
        <v>16</v>
      </c>
      <c r="B21" s="116"/>
      <c r="C21" s="113" t="s">
        <v>157</v>
      </c>
      <c r="D21" s="45">
        <v>0.1154</v>
      </c>
      <c r="E21" s="113"/>
      <c r="F21" s="45">
        <v>0.0346</v>
      </c>
      <c r="G21" s="45">
        <v>0</v>
      </c>
      <c r="H21" s="45">
        <v>0.0346</v>
      </c>
    </row>
    <row r="22" spans="1:8">
      <c r="A22" s="110">
        <v>17</v>
      </c>
      <c r="B22" s="116"/>
      <c r="C22" s="113" t="s">
        <v>158</v>
      </c>
      <c r="D22" s="45">
        <v>1.790484</v>
      </c>
      <c r="E22" s="113"/>
      <c r="F22" s="45">
        <v>0.4476</v>
      </c>
      <c r="G22" s="45">
        <v>0</v>
      </c>
      <c r="H22" s="45">
        <v>0.4476</v>
      </c>
    </row>
    <row r="23" spans="1:8">
      <c r="A23" s="110">
        <v>18</v>
      </c>
      <c r="B23" s="98" t="s">
        <v>159</v>
      </c>
      <c r="C23" s="113" t="s">
        <v>160</v>
      </c>
      <c r="D23" s="45">
        <v>2.914038</v>
      </c>
      <c r="E23" s="113"/>
      <c r="F23" s="45">
        <v>0.6994</v>
      </c>
      <c r="G23" s="45">
        <v>0</v>
      </c>
      <c r="H23" s="45">
        <v>0.6994</v>
      </c>
    </row>
    <row r="24" spans="1:8">
      <c r="A24" s="110">
        <v>19</v>
      </c>
      <c r="B24" s="116"/>
      <c r="C24" s="113" t="s">
        <v>161</v>
      </c>
      <c r="D24" s="45">
        <v>0.084383</v>
      </c>
      <c r="E24" s="113"/>
      <c r="F24" s="45">
        <v>0.0253</v>
      </c>
      <c r="G24" s="45">
        <v>0</v>
      </c>
      <c r="H24" s="45">
        <v>0.0253</v>
      </c>
    </row>
    <row r="25" spans="1:8">
      <c r="A25" s="110">
        <v>20</v>
      </c>
      <c r="B25" s="116"/>
      <c r="C25" s="113" t="s">
        <v>162</v>
      </c>
      <c r="D25" s="45">
        <v>0.055458</v>
      </c>
      <c r="E25" s="113"/>
      <c r="F25" s="45">
        <v>0.0166</v>
      </c>
      <c r="G25" s="45">
        <v>0</v>
      </c>
      <c r="H25" s="45">
        <v>0.0166</v>
      </c>
    </row>
    <row r="26" spans="1:8">
      <c r="A26" s="110">
        <v>21</v>
      </c>
      <c r="B26" s="98" t="s">
        <v>163</v>
      </c>
      <c r="C26" s="113" t="s">
        <v>164</v>
      </c>
      <c r="D26" s="45">
        <v>0.30414</v>
      </c>
      <c r="E26" s="113"/>
      <c r="F26" s="45">
        <v>0.0912</v>
      </c>
      <c r="G26" s="45">
        <v>0</v>
      </c>
      <c r="H26" s="45">
        <v>0.0912</v>
      </c>
    </row>
    <row r="27" spans="1:8">
      <c r="A27" s="110">
        <v>22</v>
      </c>
      <c r="B27" s="116"/>
      <c r="C27" s="113" t="s">
        <v>165</v>
      </c>
      <c r="D27" s="45">
        <v>0.460535</v>
      </c>
      <c r="E27" s="113"/>
      <c r="F27" s="45">
        <v>0.1382</v>
      </c>
      <c r="G27" s="45">
        <v>0</v>
      </c>
      <c r="H27" s="45">
        <v>0.1382</v>
      </c>
    </row>
    <row r="28" spans="1:8">
      <c r="A28" s="110">
        <v>23</v>
      </c>
      <c r="B28" s="116"/>
      <c r="C28" s="113" t="s">
        <v>166</v>
      </c>
      <c r="D28" s="45">
        <v>0.714772</v>
      </c>
      <c r="E28" s="113"/>
      <c r="F28" s="45">
        <v>0.2144</v>
      </c>
      <c r="G28" s="45">
        <v>0</v>
      </c>
      <c r="H28" s="45">
        <v>0.2144</v>
      </c>
    </row>
    <row r="29" spans="1:8">
      <c r="A29" s="110">
        <v>24</v>
      </c>
      <c r="B29" s="116"/>
      <c r="C29" s="113" t="s">
        <v>167</v>
      </c>
      <c r="D29" s="45">
        <v>0.0462</v>
      </c>
      <c r="E29" s="113"/>
      <c r="F29" s="45">
        <v>0.0139</v>
      </c>
      <c r="G29" s="45">
        <v>0</v>
      </c>
      <c r="H29" s="45">
        <v>0.0139</v>
      </c>
    </row>
    <row r="30" spans="1:8">
      <c r="A30" s="110">
        <v>25</v>
      </c>
      <c r="B30" s="116"/>
      <c r="C30" s="113" t="s">
        <v>168</v>
      </c>
      <c r="D30" s="45">
        <v>0.460124</v>
      </c>
      <c r="E30" s="113"/>
      <c r="F30" s="45">
        <v>0.138</v>
      </c>
      <c r="G30" s="45">
        <v>0</v>
      </c>
      <c r="H30" s="45">
        <v>0.138</v>
      </c>
    </row>
    <row r="31" spans="1:8">
      <c r="A31" s="110">
        <v>26</v>
      </c>
      <c r="B31" s="116"/>
      <c r="C31" s="113" t="s">
        <v>169</v>
      </c>
      <c r="D31" s="45">
        <v>0</v>
      </c>
      <c r="E31" s="113"/>
      <c r="F31" s="45">
        <v>0</v>
      </c>
      <c r="G31" s="45">
        <v>0</v>
      </c>
      <c r="H31" s="45">
        <v>0</v>
      </c>
    </row>
    <row r="32" spans="1:8">
      <c r="A32" s="110">
        <v>27</v>
      </c>
      <c r="B32" s="116"/>
      <c r="C32" s="113" t="s">
        <v>170</v>
      </c>
      <c r="D32" s="45">
        <v>0</v>
      </c>
      <c r="E32" s="113"/>
      <c r="F32" s="45">
        <v>0</v>
      </c>
      <c r="G32" s="45">
        <v>0</v>
      </c>
      <c r="H32" s="45">
        <v>0</v>
      </c>
    </row>
    <row r="33" spans="1:8">
      <c r="A33" s="110">
        <v>28</v>
      </c>
      <c r="B33" s="116"/>
      <c r="C33" s="113" t="s">
        <v>171</v>
      </c>
      <c r="D33" s="45">
        <v>0</v>
      </c>
      <c r="E33" s="113"/>
      <c r="F33" s="45">
        <v>0</v>
      </c>
      <c r="G33" s="45">
        <v>0</v>
      </c>
      <c r="H33" s="45">
        <v>0</v>
      </c>
    </row>
    <row r="34" spans="1:8">
      <c r="A34" s="110">
        <v>29</v>
      </c>
      <c r="B34" s="100"/>
      <c r="C34" s="113" t="s">
        <v>172</v>
      </c>
      <c r="D34" s="45">
        <v>0</v>
      </c>
      <c r="E34" s="113"/>
      <c r="F34" s="45">
        <v>0</v>
      </c>
      <c r="G34" s="45">
        <v>0</v>
      </c>
      <c r="H34" s="45">
        <v>0</v>
      </c>
    </row>
    <row r="35" spans="1:8">
      <c r="A35" s="110">
        <v>30</v>
      </c>
      <c r="B35" s="98" t="s">
        <v>173</v>
      </c>
      <c r="C35" s="113" t="s">
        <v>174</v>
      </c>
      <c r="D35" s="45">
        <v>0.457918</v>
      </c>
      <c r="E35" s="113"/>
      <c r="F35" s="45">
        <v>0.1374</v>
      </c>
      <c r="G35" s="45">
        <v>0</v>
      </c>
      <c r="H35" s="45">
        <v>0.1374</v>
      </c>
    </row>
    <row r="36" spans="1:8">
      <c r="A36" s="110">
        <v>31</v>
      </c>
      <c r="B36" s="100"/>
      <c r="C36" s="113" t="s">
        <v>175</v>
      </c>
      <c r="D36" s="45">
        <v>0.822324</v>
      </c>
      <c r="E36" s="113"/>
      <c r="F36" s="45">
        <v>0.2467</v>
      </c>
      <c r="G36" s="45">
        <v>0</v>
      </c>
      <c r="H36" s="45">
        <v>0.2467</v>
      </c>
    </row>
    <row r="37" spans="1:8">
      <c r="A37" s="110">
        <v>32</v>
      </c>
      <c r="B37" s="98" t="s">
        <v>176</v>
      </c>
      <c r="C37" s="113" t="s">
        <v>177</v>
      </c>
      <c r="D37" s="45">
        <v>0.26221</v>
      </c>
      <c r="E37" s="113"/>
      <c r="F37" s="45">
        <v>0.078663</v>
      </c>
      <c r="G37" s="45">
        <v>0</v>
      </c>
      <c r="H37" s="45">
        <v>0.078663</v>
      </c>
    </row>
    <row r="38" spans="1:8">
      <c r="A38" s="110">
        <v>33</v>
      </c>
      <c r="B38" s="116"/>
      <c r="C38" s="113" t="s">
        <v>178</v>
      </c>
      <c r="D38" s="45">
        <v>1.68339</v>
      </c>
      <c r="E38" s="113"/>
      <c r="F38" s="45">
        <v>0.505047</v>
      </c>
      <c r="G38" s="45">
        <v>0</v>
      </c>
      <c r="H38" s="45">
        <v>0.505047</v>
      </c>
    </row>
    <row r="39" spans="1:8">
      <c r="A39" s="110">
        <v>34</v>
      </c>
      <c r="B39" s="100"/>
      <c r="C39" s="113" t="s">
        <v>179</v>
      </c>
      <c r="D39" s="45">
        <v>0.09595</v>
      </c>
      <c r="E39" s="113"/>
      <c r="F39" s="45">
        <v>0.028785</v>
      </c>
      <c r="G39" s="45">
        <v>0</v>
      </c>
      <c r="H39" s="45">
        <v>0.028785</v>
      </c>
    </row>
    <row r="40" spans="1:8">
      <c r="A40" s="110">
        <v>35</v>
      </c>
      <c r="B40" s="98" t="s">
        <v>180</v>
      </c>
      <c r="C40" s="113" t="s">
        <v>181</v>
      </c>
      <c r="D40" s="45">
        <v>0</v>
      </c>
      <c r="E40" s="113"/>
      <c r="F40" s="45">
        <v>0</v>
      </c>
      <c r="G40" s="45">
        <v>0</v>
      </c>
      <c r="H40" s="45">
        <v>0</v>
      </c>
    </row>
    <row r="41" spans="1:8">
      <c r="A41" s="110">
        <v>36</v>
      </c>
      <c r="B41" s="100"/>
      <c r="C41" s="113" t="s">
        <v>182</v>
      </c>
      <c r="D41" s="45">
        <v>0</v>
      </c>
      <c r="E41" s="113"/>
      <c r="F41" s="45">
        <v>0</v>
      </c>
      <c r="G41" s="45">
        <v>0</v>
      </c>
      <c r="H41" s="45">
        <v>0</v>
      </c>
    </row>
    <row r="42" spans="1:8">
      <c r="A42" s="110">
        <v>37</v>
      </c>
      <c r="B42" s="117" t="s">
        <v>183</v>
      </c>
      <c r="C42" s="56" t="s">
        <v>184</v>
      </c>
      <c r="D42" s="45">
        <v>0</v>
      </c>
      <c r="E42" s="56"/>
      <c r="F42" s="45">
        <v>0</v>
      </c>
      <c r="G42" s="45">
        <v>0.7</v>
      </c>
      <c r="H42" s="45">
        <v>0.7</v>
      </c>
    </row>
    <row r="43" spans="1:8">
      <c r="A43" s="110">
        <v>38</v>
      </c>
      <c r="B43" s="117" t="s">
        <v>185</v>
      </c>
      <c r="C43" s="56" t="s">
        <v>186</v>
      </c>
      <c r="D43" s="45">
        <v>0</v>
      </c>
      <c r="E43" s="56"/>
      <c r="F43" s="45">
        <v>0</v>
      </c>
      <c r="G43" s="45">
        <v>0.3</v>
      </c>
      <c r="H43" s="45">
        <v>0.3</v>
      </c>
    </row>
    <row r="44" spans="1:8">
      <c r="A44" s="110">
        <v>39</v>
      </c>
      <c r="B44" s="117"/>
      <c r="C44" s="56" t="s">
        <v>187</v>
      </c>
      <c r="D44" s="45">
        <v>0</v>
      </c>
      <c r="E44" s="56"/>
      <c r="F44" s="45">
        <v>0</v>
      </c>
      <c r="G44" s="45">
        <v>0.3</v>
      </c>
      <c r="H44" s="45">
        <v>0.3</v>
      </c>
    </row>
    <row r="45" spans="1:8">
      <c r="A45" s="110">
        <v>40</v>
      </c>
      <c r="B45" s="117"/>
      <c r="C45" s="56" t="s">
        <v>188</v>
      </c>
      <c r="D45" s="45">
        <v>0</v>
      </c>
      <c r="E45" s="56"/>
      <c r="F45" s="45">
        <v>0</v>
      </c>
      <c r="G45" s="45">
        <v>0.3</v>
      </c>
      <c r="H45" s="45">
        <v>0.3</v>
      </c>
    </row>
    <row r="46" spans="1:8">
      <c r="A46" s="110">
        <v>41</v>
      </c>
      <c r="B46" s="117"/>
      <c r="C46" s="56" t="s">
        <v>189</v>
      </c>
      <c r="D46" s="45">
        <v>0</v>
      </c>
      <c r="E46" s="56"/>
      <c r="F46" s="45">
        <v>0</v>
      </c>
      <c r="G46" s="45">
        <v>0.3</v>
      </c>
      <c r="H46" s="45">
        <v>0.3</v>
      </c>
    </row>
    <row r="47" spans="1:8">
      <c r="A47" s="110">
        <v>42</v>
      </c>
      <c r="B47" s="117"/>
      <c r="C47" s="56" t="s">
        <v>190</v>
      </c>
      <c r="D47" s="45">
        <v>0</v>
      </c>
      <c r="E47" s="56"/>
      <c r="F47" s="45">
        <v>0</v>
      </c>
      <c r="G47" s="45">
        <v>0.3</v>
      </c>
      <c r="H47" s="45">
        <v>0.3</v>
      </c>
    </row>
    <row r="48" spans="1:8">
      <c r="A48" s="110">
        <v>43</v>
      </c>
      <c r="B48" s="117"/>
      <c r="C48" s="56" t="s">
        <v>191</v>
      </c>
      <c r="D48" s="45">
        <v>0</v>
      </c>
      <c r="E48" s="56"/>
      <c r="F48" s="45">
        <v>0</v>
      </c>
      <c r="G48" s="45">
        <v>0.3</v>
      </c>
      <c r="H48" s="45">
        <v>0.3</v>
      </c>
    </row>
    <row r="49" spans="1:8">
      <c r="A49" s="110">
        <v>44</v>
      </c>
      <c r="B49" s="117"/>
      <c r="C49" s="56" t="s">
        <v>192</v>
      </c>
      <c r="D49" s="45">
        <v>0</v>
      </c>
      <c r="E49" s="56"/>
      <c r="F49" s="45">
        <v>0</v>
      </c>
      <c r="G49" s="45">
        <v>0.3</v>
      </c>
      <c r="H49" s="45">
        <v>0.3</v>
      </c>
    </row>
    <row r="50" spans="1:8">
      <c r="A50" s="110">
        <v>45</v>
      </c>
      <c r="B50" s="117"/>
      <c r="C50" s="56" t="s">
        <v>193</v>
      </c>
      <c r="D50" s="45">
        <v>0</v>
      </c>
      <c r="E50" s="56"/>
      <c r="F50" s="45">
        <v>0</v>
      </c>
      <c r="G50" s="45">
        <v>0.3</v>
      </c>
      <c r="H50" s="45">
        <v>0.3</v>
      </c>
    </row>
    <row r="51" spans="1:8">
      <c r="A51" s="110">
        <v>46</v>
      </c>
      <c r="B51" s="117" t="s">
        <v>155</v>
      </c>
      <c r="C51" s="56" t="s">
        <v>194</v>
      </c>
      <c r="D51" s="45">
        <v>0</v>
      </c>
      <c r="E51" s="56"/>
      <c r="F51" s="45">
        <v>0</v>
      </c>
      <c r="G51" s="45">
        <v>0.3</v>
      </c>
      <c r="H51" s="45">
        <v>0.3</v>
      </c>
    </row>
    <row r="52" spans="1:8">
      <c r="A52" s="48"/>
      <c r="B52" s="48"/>
      <c r="C52" s="48"/>
      <c r="D52" s="48"/>
      <c r="E52" s="48"/>
      <c r="F52" s="48"/>
      <c r="G52" s="48"/>
      <c r="H52" s="48"/>
    </row>
  </sheetData>
  <mergeCells count="15">
    <mergeCell ref="D4:H4"/>
    <mergeCell ref="A4:A5"/>
    <mergeCell ref="B4:B5"/>
    <mergeCell ref="B7:B10"/>
    <mergeCell ref="B11:B12"/>
    <mergeCell ref="B13:B15"/>
    <mergeCell ref="B17:B19"/>
    <mergeCell ref="B20:B22"/>
    <mergeCell ref="B23:B25"/>
    <mergeCell ref="B26:B34"/>
    <mergeCell ref="B35:B36"/>
    <mergeCell ref="B37:B39"/>
    <mergeCell ref="B40:B41"/>
    <mergeCell ref="B43:B50"/>
    <mergeCell ref="C4:C5"/>
  </mergeCells>
  <printOptions horizontalCentered="1"/>
  <pageMargins left="0.161111111111111" right="0.161111111111111" top="0.802777777777778" bottom="0.60625" header="0.5" footer="0.5"/>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5"/>
  <sheetViews>
    <sheetView workbookViewId="0">
      <pane xSplit="1" ySplit="5" topLeftCell="B33" activePane="bottomRight" state="frozen"/>
      <selection/>
      <selection pane="topRight"/>
      <selection pane="bottomLeft"/>
      <selection pane="bottomRight" activeCell="H41" sqref="H41"/>
    </sheetView>
  </sheetViews>
  <sheetFormatPr defaultColWidth="8.72727272727273" defaultRowHeight="14"/>
  <cols>
    <col min="1" max="1" width="5.72727272727273" customWidth="1"/>
    <col min="2" max="2" width="23.1818181818182" customWidth="1"/>
    <col min="3" max="3" width="10.3636363636364" customWidth="1"/>
    <col min="4" max="4" width="11.2727272727273" style="8" customWidth="1"/>
    <col min="5" max="5" width="8.09090909090909" style="8" customWidth="1"/>
    <col min="6" max="6" width="10.3727272727273" style="8" customWidth="1"/>
    <col min="7" max="7" width="10.5454545454545" style="48" customWidth="1"/>
    <col min="8" max="8" width="11.6363636363636" style="48" customWidth="1"/>
    <col min="9" max="9" width="8.87272727272727" style="48" customWidth="1"/>
    <col min="10" max="10" width="10.3727272727273" style="48" customWidth="1"/>
  </cols>
  <sheetData>
    <row r="1" ht="15" spans="1:1">
      <c r="A1" s="92" t="s">
        <v>195</v>
      </c>
    </row>
    <row r="2" ht="30" customHeight="1" spans="1:10">
      <c r="A2" s="41" t="s">
        <v>196</v>
      </c>
      <c r="B2" s="41"/>
      <c r="C2" s="41"/>
      <c r="D2" s="63"/>
      <c r="E2" s="63"/>
      <c r="F2" s="63"/>
      <c r="G2" s="93"/>
      <c r="H2" s="93"/>
      <c r="I2" s="93"/>
      <c r="J2" s="93"/>
    </row>
    <row r="3" customFormat="1" ht="17" customHeight="1" spans="1:10">
      <c r="A3" s="41"/>
      <c r="B3" s="41"/>
      <c r="C3" s="41"/>
      <c r="D3" s="63"/>
      <c r="E3" s="63"/>
      <c r="F3" s="63"/>
      <c r="G3" s="93"/>
      <c r="H3" s="93"/>
      <c r="I3" s="93"/>
      <c r="J3" s="108" t="s">
        <v>125</v>
      </c>
    </row>
    <row r="4" s="91" customFormat="1" spans="1:10">
      <c r="A4" s="94" t="s">
        <v>126</v>
      </c>
      <c r="B4" s="94" t="s">
        <v>197</v>
      </c>
      <c r="C4" s="95" t="s">
        <v>198</v>
      </c>
      <c r="D4" s="96"/>
      <c r="E4" s="96"/>
      <c r="F4" s="96"/>
      <c r="G4" s="97" t="s">
        <v>199</v>
      </c>
      <c r="H4" s="98" t="s">
        <v>200</v>
      </c>
      <c r="I4" s="97" t="s">
        <v>201</v>
      </c>
      <c r="J4" s="97" t="s">
        <v>202</v>
      </c>
    </row>
    <row r="5" s="91" customFormat="1" ht="38" customHeight="1" spans="1:10">
      <c r="A5" s="99"/>
      <c r="B5" s="99"/>
      <c r="C5" s="95" t="s">
        <v>203</v>
      </c>
      <c r="D5" s="96" t="s">
        <v>204</v>
      </c>
      <c r="E5" s="96" t="s">
        <v>133</v>
      </c>
      <c r="F5" s="96" t="s">
        <v>122</v>
      </c>
      <c r="G5" s="97"/>
      <c r="H5" s="100"/>
      <c r="I5" s="97"/>
      <c r="J5" s="97"/>
    </row>
    <row r="6" spans="1:10">
      <c r="A6" s="23">
        <v>1</v>
      </c>
      <c r="B6" s="101" t="s">
        <v>205</v>
      </c>
      <c r="C6" s="37"/>
      <c r="D6" s="45">
        <v>655.73676502</v>
      </c>
      <c r="E6" s="37">
        <v>0</v>
      </c>
      <c r="F6" s="37">
        <f t="shared" ref="F6:F33" si="0">C6+E6+D6</f>
        <v>655.73676502</v>
      </c>
      <c r="G6" s="102">
        <v>646.217</v>
      </c>
      <c r="H6" s="37">
        <f t="shared" ref="H6:H40" si="1">F6-G6</f>
        <v>9.51976502000002</v>
      </c>
      <c r="I6" s="45">
        <v>4</v>
      </c>
      <c r="J6" s="37">
        <f t="shared" ref="J6:J40" si="2">G6-I6</f>
        <v>642.217</v>
      </c>
    </row>
    <row r="7" spans="1:10">
      <c r="A7" s="23">
        <v>2</v>
      </c>
      <c r="B7" s="101" t="s">
        <v>206</v>
      </c>
      <c r="C7" s="37"/>
      <c r="D7" s="45">
        <v>414.4130366</v>
      </c>
      <c r="E7" s="37">
        <v>0</v>
      </c>
      <c r="F7" s="37">
        <f t="shared" si="0"/>
        <v>414.4130366</v>
      </c>
      <c r="G7" s="102">
        <v>493.0763</v>
      </c>
      <c r="H7" s="37">
        <f t="shared" si="1"/>
        <v>-78.6632634</v>
      </c>
      <c r="I7" s="45">
        <v>2</v>
      </c>
      <c r="J7" s="37">
        <f t="shared" si="2"/>
        <v>491.0763</v>
      </c>
    </row>
    <row r="8" spans="1:10">
      <c r="A8" s="23">
        <v>3</v>
      </c>
      <c r="B8" s="101" t="s">
        <v>207</v>
      </c>
      <c r="C8" s="37"/>
      <c r="D8" s="45">
        <v>900</v>
      </c>
      <c r="E8" s="37">
        <v>0</v>
      </c>
      <c r="F8" s="37">
        <f t="shared" si="0"/>
        <v>900</v>
      </c>
      <c r="G8" s="102">
        <v>900</v>
      </c>
      <c r="H8" s="37">
        <f t="shared" si="1"/>
        <v>0</v>
      </c>
      <c r="I8" s="45">
        <v>3</v>
      </c>
      <c r="J8" s="37">
        <f t="shared" si="2"/>
        <v>897</v>
      </c>
    </row>
    <row r="9" spans="1:10">
      <c r="A9" s="23">
        <v>4</v>
      </c>
      <c r="B9" s="101" t="s">
        <v>208</v>
      </c>
      <c r="C9" s="37"/>
      <c r="D9" s="45">
        <v>500</v>
      </c>
      <c r="E9" s="37">
        <v>0</v>
      </c>
      <c r="F9" s="37">
        <f t="shared" si="0"/>
        <v>500</v>
      </c>
      <c r="G9" s="102">
        <v>500</v>
      </c>
      <c r="H9" s="37">
        <f t="shared" si="1"/>
        <v>0</v>
      </c>
      <c r="I9" s="45">
        <v>1</v>
      </c>
      <c r="J9" s="37">
        <f t="shared" si="2"/>
        <v>499</v>
      </c>
    </row>
    <row r="10" spans="1:10">
      <c r="A10" s="23">
        <v>5</v>
      </c>
      <c r="B10" s="101" t="s">
        <v>209</v>
      </c>
      <c r="C10" s="37"/>
      <c r="D10" s="45">
        <v>2.26398675</v>
      </c>
      <c r="E10" s="37">
        <v>0</v>
      </c>
      <c r="F10" s="37">
        <f t="shared" si="0"/>
        <v>2.26398675</v>
      </c>
      <c r="G10" s="102">
        <v>2.264</v>
      </c>
      <c r="H10" s="37">
        <f t="shared" si="1"/>
        <v>-1.32499999998537e-5</v>
      </c>
      <c r="I10" s="45">
        <v>0.3</v>
      </c>
      <c r="J10" s="37">
        <f t="shared" si="2"/>
        <v>1.964</v>
      </c>
    </row>
    <row r="11" spans="1:10">
      <c r="A11" s="23">
        <v>6</v>
      </c>
      <c r="B11" s="101" t="s">
        <v>210</v>
      </c>
      <c r="C11" s="37"/>
      <c r="D11" s="45">
        <v>24.4269845</v>
      </c>
      <c r="E11" s="37">
        <v>0</v>
      </c>
      <c r="F11" s="37">
        <f t="shared" si="0"/>
        <v>24.4269845</v>
      </c>
      <c r="G11" s="102">
        <v>24.427</v>
      </c>
      <c r="H11" s="37">
        <f t="shared" si="1"/>
        <v>-1.54999999999461e-5</v>
      </c>
      <c r="I11" s="45">
        <v>0.4</v>
      </c>
      <c r="J11" s="37">
        <f t="shared" si="2"/>
        <v>24.027</v>
      </c>
    </row>
    <row r="12" spans="1:10">
      <c r="A12" s="23">
        <v>7</v>
      </c>
      <c r="B12" s="101" t="s">
        <v>211</v>
      </c>
      <c r="C12" s="37"/>
      <c r="D12" s="45">
        <v>51.42165459</v>
      </c>
      <c r="E12" s="37">
        <v>0</v>
      </c>
      <c r="F12" s="37">
        <f t="shared" si="0"/>
        <v>51.42165459</v>
      </c>
      <c r="G12" s="102">
        <v>50.527</v>
      </c>
      <c r="H12" s="37">
        <f t="shared" si="1"/>
        <v>0.894654590000002</v>
      </c>
      <c r="I12" s="45">
        <v>0.2</v>
      </c>
      <c r="J12" s="37">
        <f t="shared" si="2"/>
        <v>50.327</v>
      </c>
    </row>
    <row r="13" spans="1:10">
      <c r="A13" s="23">
        <v>8</v>
      </c>
      <c r="B13" s="101" t="s">
        <v>212</v>
      </c>
      <c r="C13" s="37"/>
      <c r="D13" s="45">
        <v>40.91772016</v>
      </c>
      <c r="E13" s="37">
        <v>0</v>
      </c>
      <c r="F13" s="37">
        <f t="shared" si="0"/>
        <v>40.91772016</v>
      </c>
      <c r="G13" s="102">
        <v>41.581</v>
      </c>
      <c r="H13" s="37">
        <f t="shared" si="1"/>
        <v>-0.663279840000008</v>
      </c>
      <c r="I13" s="45">
        <v>0.1</v>
      </c>
      <c r="J13" s="37">
        <f t="shared" si="2"/>
        <v>41.481</v>
      </c>
    </row>
    <row r="14" spans="1:10">
      <c r="A14" s="23">
        <v>9</v>
      </c>
      <c r="B14" s="101" t="s">
        <v>213</v>
      </c>
      <c r="C14" s="37"/>
      <c r="D14" s="45">
        <v>19.6451</v>
      </c>
      <c r="E14" s="37">
        <v>0</v>
      </c>
      <c r="F14" s="37">
        <f t="shared" si="0"/>
        <v>19.6451</v>
      </c>
      <c r="G14" s="102">
        <v>19.6451</v>
      </c>
      <c r="H14" s="37">
        <f t="shared" si="1"/>
        <v>0</v>
      </c>
      <c r="I14" s="45">
        <v>0.6</v>
      </c>
      <c r="J14" s="37">
        <f t="shared" si="2"/>
        <v>19.0451</v>
      </c>
    </row>
    <row r="15" spans="1:10">
      <c r="A15" s="23">
        <v>10</v>
      </c>
      <c r="B15" s="101" t="s">
        <v>214</v>
      </c>
      <c r="C15" s="37"/>
      <c r="D15" s="45">
        <v>24.808</v>
      </c>
      <c r="E15" s="37">
        <v>0</v>
      </c>
      <c r="F15" s="37">
        <f t="shared" si="0"/>
        <v>24.808</v>
      </c>
      <c r="G15" s="102">
        <v>24.808</v>
      </c>
      <c r="H15" s="37">
        <f t="shared" si="1"/>
        <v>0</v>
      </c>
      <c r="I15" s="45">
        <v>0.5</v>
      </c>
      <c r="J15" s="37">
        <f t="shared" si="2"/>
        <v>24.308</v>
      </c>
    </row>
    <row r="16" s="48" customFormat="1" spans="1:10">
      <c r="A16" s="103">
        <v>11</v>
      </c>
      <c r="B16" s="104" t="s">
        <v>215</v>
      </c>
      <c r="C16" s="45">
        <v>87.26134645</v>
      </c>
      <c r="D16" s="45">
        <v>284.63080315</v>
      </c>
      <c r="E16" s="45">
        <v>23.1</v>
      </c>
      <c r="F16" s="57">
        <f t="shared" si="0"/>
        <v>394.9921496</v>
      </c>
      <c r="G16" s="102">
        <v>437.969</v>
      </c>
      <c r="H16" s="57">
        <f t="shared" si="1"/>
        <v>-42.9768503999999</v>
      </c>
      <c r="I16" s="45">
        <v>0.3</v>
      </c>
      <c r="J16" s="57">
        <f t="shared" si="2"/>
        <v>437.669</v>
      </c>
    </row>
    <row r="17" s="48" customFormat="1" spans="1:10">
      <c r="A17" s="103">
        <v>12</v>
      </c>
      <c r="B17" s="104" t="s">
        <v>216</v>
      </c>
      <c r="C17" s="45">
        <v>18.91111053</v>
      </c>
      <c r="D17" s="45">
        <v>121.41556016</v>
      </c>
      <c r="E17" s="45">
        <v>9.4</v>
      </c>
      <c r="F17" s="57">
        <f t="shared" si="0"/>
        <v>149.72667069</v>
      </c>
      <c r="G17" s="102">
        <v>158.1339</v>
      </c>
      <c r="H17" s="57">
        <f t="shared" si="1"/>
        <v>-8.40722931000002</v>
      </c>
      <c r="I17" s="45">
        <v>0.14</v>
      </c>
      <c r="J17" s="57">
        <f t="shared" si="2"/>
        <v>157.9939</v>
      </c>
    </row>
    <row r="18" s="48" customFormat="1" spans="1:10">
      <c r="A18" s="103">
        <v>13</v>
      </c>
      <c r="B18" s="104" t="s">
        <v>217</v>
      </c>
      <c r="C18" s="45">
        <v>20.0456104</v>
      </c>
      <c r="D18" s="45">
        <v>43.90781104</v>
      </c>
      <c r="E18" s="45">
        <v>9.1</v>
      </c>
      <c r="F18" s="57">
        <f t="shared" si="0"/>
        <v>73.05342144</v>
      </c>
      <c r="G18" s="102">
        <v>76.5537</v>
      </c>
      <c r="H18" s="57">
        <f t="shared" si="1"/>
        <v>-3.50027856000001</v>
      </c>
      <c r="I18" s="45">
        <v>0.58</v>
      </c>
      <c r="J18" s="57">
        <f t="shared" si="2"/>
        <v>75.9737</v>
      </c>
    </row>
    <row r="19" s="48" customFormat="1" spans="1:10">
      <c r="A19" s="103">
        <v>14</v>
      </c>
      <c r="B19" s="104" t="s">
        <v>159</v>
      </c>
      <c r="C19" s="45">
        <v>34.01933315</v>
      </c>
      <c r="D19" s="45">
        <v>55.67948865</v>
      </c>
      <c r="E19" s="45">
        <v>11.8</v>
      </c>
      <c r="F19" s="57">
        <f t="shared" si="0"/>
        <v>101.4988218</v>
      </c>
      <c r="G19" s="102">
        <v>106.7249</v>
      </c>
      <c r="H19" s="57">
        <f t="shared" si="1"/>
        <v>-5.2260782</v>
      </c>
      <c r="I19" s="45">
        <v>0.34</v>
      </c>
      <c r="J19" s="57">
        <f t="shared" si="2"/>
        <v>106.3849</v>
      </c>
    </row>
    <row r="20" s="48" customFormat="1" spans="1:10">
      <c r="A20" s="103">
        <v>15</v>
      </c>
      <c r="B20" s="104" t="s">
        <v>218</v>
      </c>
      <c r="C20" s="45">
        <v>1.7543963</v>
      </c>
      <c r="D20" s="45">
        <v>15.408172</v>
      </c>
      <c r="E20" s="45">
        <v>2.7</v>
      </c>
      <c r="F20" s="57">
        <f t="shared" si="0"/>
        <v>19.8625683</v>
      </c>
      <c r="G20" s="102">
        <v>20.7697</v>
      </c>
      <c r="H20" s="57">
        <f t="shared" si="1"/>
        <v>-0.907131700000001</v>
      </c>
      <c r="I20" s="45">
        <v>0.54</v>
      </c>
      <c r="J20" s="57">
        <f t="shared" si="2"/>
        <v>20.2297</v>
      </c>
    </row>
    <row r="21" s="48" customFormat="1" spans="1:10">
      <c r="A21" s="103">
        <v>16</v>
      </c>
      <c r="B21" s="104" t="s">
        <v>219</v>
      </c>
      <c r="C21" s="45">
        <v>14.8716758</v>
      </c>
      <c r="D21" s="45">
        <v>10.0500315</v>
      </c>
      <c r="E21" s="45">
        <v>4.9</v>
      </c>
      <c r="F21" s="57">
        <f t="shared" si="0"/>
        <v>29.8217073</v>
      </c>
      <c r="G21" s="102">
        <v>28.9423</v>
      </c>
      <c r="H21" s="57">
        <f t="shared" si="1"/>
        <v>0.8794073</v>
      </c>
      <c r="I21" s="45">
        <v>0.4</v>
      </c>
      <c r="J21" s="57">
        <f t="shared" si="2"/>
        <v>28.5423</v>
      </c>
    </row>
    <row r="22" s="48" customFormat="1" spans="1:10">
      <c r="A22" s="103">
        <v>17</v>
      </c>
      <c r="B22" s="104" t="s">
        <v>173</v>
      </c>
      <c r="C22" s="45">
        <v>6.32741981</v>
      </c>
      <c r="D22" s="45">
        <v>19.8776755</v>
      </c>
      <c r="E22" s="45">
        <v>4.2</v>
      </c>
      <c r="F22" s="57">
        <f t="shared" si="0"/>
        <v>30.40509531</v>
      </c>
      <c r="G22" s="102">
        <v>30.371</v>
      </c>
      <c r="H22" s="57">
        <f t="shared" si="1"/>
        <v>0.0340953100000014</v>
      </c>
      <c r="I22" s="45">
        <v>0.48</v>
      </c>
      <c r="J22" s="57">
        <f t="shared" si="2"/>
        <v>29.891</v>
      </c>
    </row>
    <row r="23" s="48" customFormat="1" spans="1:10">
      <c r="A23" s="103">
        <v>18</v>
      </c>
      <c r="B23" s="104" t="s">
        <v>220</v>
      </c>
      <c r="C23" s="45">
        <v>3.78430584</v>
      </c>
      <c r="D23" s="45">
        <v>34.11014056</v>
      </c>
      <c r="E23" s="45">
        <v>6</v>
      </c>
      <c r="F23" s="57">
        <f t="shared" si="0"/>
        <v>43.8944464</v>
      </c>
      <c r="G23" s="102">
        <v>45.4964</v>
      </c>
      <c r="H23" s="57">
        <f t="shared" si="1"/>
        <v>-1.6019536</v>
      </c>
      <c r="I23" s="45">
        <v>0.1</v>
      </c>
      <c r="J23" s="57">
        <f t="shared" si="2"/>
        <v>45.3964</v>
      </c>
    </row>
    <row r="24" s="48" customFormat="1" spans="1:10">
      <c r="A24" s="103">
        <v>19</v>
      </c>
      <c r="B24" s="104" t="s">
        <v>221</v>
      </c>
      <c r="C24" s="45">
        <v>0.1426299</v>
      </c>
      <c r="D24" s="45">
        <v>13.07925825</v>
      </c>
      <c r="E24" s="45">
        <v>1.2</v>
      </c>
      <c r="F24" s="57">
        <f t="shared" si="0"/>
        <v>14.42188815</v>
      </c>
      <c r="G24" s="102">
        <v>14.8355</v>
      </c>
      <c r="H24" s="57">
        <f t="shared" si="1"/>
        <v>-0.413611849999999</v>
      </c>
      <c r="I24" s="45">
        <v>0.42</v>
      </c>
      <c r="J24" s="57">
        <f t="shared" si="2"/>
        <v>14.4155</v>
      </c>
    </row>
    <row r="25" spans="1:10">
      <c r="A25" s="23">
        <v>20</v>
      </c>
      <c r="B25" s="101" t="s">
        <v>137</v>
      </c>
      <c r="C25" s="45">
        <v>10.34772754</v>
      </c>
      <c r="D25" s="45">
        <v>24.70994275</v>
      </c>
      <c r="E25" s="45">
        <v>2.8</v>
      </c>
      <c r="F25" s="37">
        <f t="shared" si="0"/>
        <v>37.85767029</v>
      </c>
      <c r="G25" s="102">
        <v>29.4254</v>
      </c>
      <c r="H25" s="37">
        <f t="shared" si="1"/>
        <v>8.43227029</v>
      </c>
      <c r="I25" s="45">
        <v>0.52</v>
      </c>
      <c r="J25" s="37">
        <f t="shared" si="2"/>
        <v>28.9054</v>
      </c>
    </row>
    <row r="26" spans="1:10">
      <c r="A26" s="23">
        <v>21</v>
      </c>
      <c r="B26" s="101" t="s">
        <v>222</v>
      </c>
      <c r="C26" s="45">
        <v>8.27234541</v>
      </c>
      <c r="D26" s="45">
        <v>41.32089856</v>
      </c>
      <c r="E26" s="45">
        <v>2.8</v>
      </c>
      <c r="F26" s="37">
        <f t="shared" si="0"/>
        <v>52.39324397</v>
      </c>
      <c r="G26" s="102">
        <v>44.4886</v>
      </c>
      <c r="H26" s="37">
        <f t="shared" si="1"/>
        <v>7.90464397</v>
      </c>
      <c r="I26" s="45">
        <v>0.32</v>
      </c>
      <c r="J26" s="37">
        <f t="shared" si="2"/>
        <v>44.1686</v>
      </c>
    </row>
    <row r="27" spans="1:10">
      <c r="A27" s="23">
        <v>22</v>
      </c>
      <c r="B27" s="101" t="s">
        <v>155</v>
      </c>
      <c r="C27" s="45">
        <v>2.69083778</v>
      </c>
      <c r="D27" s="45">
        <v>25.20867952</v>
      </c>
      <c r="E27" s="45">
        <v>5.4</v>
      </c>
      <c r="F27" s="37">
        <f t="shared" si="0"/>
        <v>33.2995173</v>
      </c>
      <c r="G27" s="102">
        <v>32.3207</v>
      </c>
      <c r="H27" s="37">
        <f t="shared" si="1"/>
        <v>0.978817300000003</v>
      </c>
      <c r="I27" s="45">
        <v>0.38</v>
      </c>
      <c r="J27" s="37">
        <f t="shared" si="2"/>
        <v>31.9407</v>
      </c>
    </row>
    <row r="28" spans="1:10">
      <c r="A28" s="23">
        <v>23</v>
      </c>
      <c r="B28" s="101" t="s">
        <v>223</v>
      </c>
      <c r="C28" s="45">
        <v>0.245769</v>
      </c>
      <c r="D28" s="45">
        <v>13.455671</v>
      </c>
      <c r="E28" s="45">
        <v>3.4</v>
      </c>
      <c r="F28" s="37">
        <f t="shared" si="0"/>
        <v>17.10144</v>
      </c>
      <c r="G28" s="102">
        <v>14.7625</v>
      </c>
      <c r="H28" s="37">
        <f t="shared" si="1"/>
        <v>2.33894</v>
      </c>
      <c r="I28" s="45">
        <v>0.24</v>
      </c>
      <c r="J28" s="37">
        <f t="shared" si="2"/>
        <v>14.5225</v>
      </c>
    </row>
    <row r="29" spans="1:10">
      <c r="A29" s="23">
        <v>24</v>
      </c>
      <c r="B29" s="101" t="s">
        <v>224</v>
      </c>
      <c r="C29" s="45">
        <v>2.84721532</v>
      </c>
      <c r="D29" s="45">
        <v>14.0948995</v>
      </c>
      <c r="E29" s="45">
        <v>2.6</v>
      </c>
      <c r="F29" s="37">
        <f t="shared" si="0"/>
        <v>19.54211482</v>
      </c>
      <c r="G29" s="102">
        <v>19.3543</v>
      </c>
      <c r="H29" s="37">
        <f t="shared" si="1"/>
        <v>0.187814820000003</v>
      </c>
      <c r="I29" s="45">
        <v>0.2</v>
      </c>
      <c r="J29" s="37">
        <f t="shared" si="2"/>
        <v>19.1543</v>
      </c>
    </row>
    <row r="30" spans="1:10">
      <c r="A30" s="23">
        <v>25</v>
      </c>
      <c r="B30" s="101" t="s">
        <v>225</v>
      </c>
      <c r="C30" s="45">
        <v>3.31122906</v>
      </c>
      <c r="D30" s="45">
        <v>4.553292</v>
      </c>
      <c r="E30" s="45">
        <v>3.1</v>
      </c>
      <c r="F30" s="37">
        <f t="shared" si="0"/>
        <v>10.96452106</v>
      </c>
      <c r="G30" s="102">
        <v>10.9663</v>
      </c>
      <c r="H30" s="37">
        <f t="shared" si="1"/>
        <v>-0.00177894000000123</v>
      </c>
      <c r="I30" s="45">
        <v>0.44</v>
      </c>
      <c r="J30" s="37">
        <f t="shared" si="2"/>
        <v>10.5263</v>
      </c>
    </row>
    <row r="31" spans="1:10">
      <c r="A31" s="23">
        <v>26</v>
      </c>
      <c r="B31" s="101" t="s">
        <v>176</v>
      </c>
      <c r="C31" s="45">
        <v>0.5782955</v>
      </c>
      <c r="D31" s="45">
        <v>47.95187344</v>
      </c>
      <c r="E31" s="37">
        <v>0</v>
      </c>
      <c r="F31" s="37">
        <f t="shared" si="0"/>
        <v>48.53016894</v>
      </c>
      <c r="G31" s="102">
        <v>50.1151</v>
      </c>
      <c r="H31" s="37">
        <f t="shared" si="1"/>
        <v>-1.58493106</v>
      </c>
      <c r="I31" s="45">
        <v>0.16</v>
      </c>
      <c r="J31" s="37">
        <f t="shared" si="2"/>
        <v>49.9551</v>
      </c>
    </row>
    <row r="32" spans="1:10">
      <c r="A32" s="23">
        <v>27</v>
      </c>
      <c r="B32" s="101" t="s">
        <v>226</v>
      </c>
      <c r="C32" s="45">
        <v>4.75524739</v>
      </c>
      <c r="D32" s="45">
        <v>27.8719708</v>
      </c>
      <c r="E32" s="45">
        <v>1.4</v>
      </c>
      <c r="F32" s="37">
        <f t="shared" si="0"/>
        <v>34.02721819</v>
      </c>
      <c r="G32" s="102">
        <v>34.0279</v>
      </c>
      <c r="H32" s="37">
        <f t="shared" si="1"/>
        <v>-0.000681810000003225</v>
      </c>
      <c r="I32" s="45">
        <v>0.22</v>
      </c>
      <c r="J32" s="37">
        <f t="shared" si="2"/>
        <v>33.8079</v>
      </c>
    </row>
    <row r="33" spans="1:10">
      <c r="A33" s="23">
        <v>28</v>
      </c>
      <c r="B33" s="101" t="s">
        <v>227</v>
      </c>
      <c r="C33" s="45">
        <v>10.85914775</v>
      </c>
      <c r="D33" s="45">
        <v>22.67228975</v>
      </c>
      <c r="E33" s="45">
        <v>9.1</v>
      </c>
      <c r="F33" s="37">
        <f t="shared" si="0"/>
        <v>42.6314375</v>
      </c>
      <c r="G33" s="102">
        <v>42.9412</v>
      </c>
      <c r="H33" s="37">
        <f t="shared" si="1"/>
        <v>-0.309762499999998</v>
      </c>
      <c r="I33" s="45">
        <v>0.5</v>
      </c>
      <c r="J33" s="37">
        <f t="shared" si="2"/>
        <v>42.4412</v>
      </c>
    </row>
    <row r="34" spans="1:10">
      <c r="A34" s="23">
        <v>29</v>
      </c>
      <c r="B34" s="101" t="s">
        <v>135</v>
      </c>
      <c r="C34" s="45">
        <v>7.67373593</v>
      </c>
      <c r="D34" s="45">
        <v>29.77300456</v>
      </c>
      <c r="E34" s="45">
        <v>3.4</v>
      </c>
      <c r="F34" s="37">
        <f>C34+E34+D32</f>
        <v>38.94570673</v>
      </c>
      <c r="G34" s="102">
        <v>40.2395</v>
      </c>
      <c r="H34" s="37">
        <f t="shared" si="1"/>
        <v>-1.29379327</v>
      </c>
      <c r="I34" s="45">
        <v>0.12</v>
      </c>
      <c r="J34" s="37">
        <f t="shared" si="2"/>
        <v>40.1195</v>
      </c>
    </row>
    <row r="35" spans="1:10">
      <c r="A35" s="23">
        <v>30</v>
      </c>
      <c r="B35" s="101" t="s">
        <v>228</v>
      </c>
      <c r="C35" s="45">
        <v>18.90351792</v>
      </c>
      <c r="D35" s="45">
        <v>83.94003508</v>
      </c>
      <c r="E35" s="45">
        <v>6.3</v>
      </c>
      <c r="F35" s="37">
        <f t="shared" ref="F35:F40" si="3">C35+E35+D35</f>
        <v>109.143553</v>
      </c>
      <c r="G35" s="102">
        <v>106.6073</v>
      </c>
      <c r="H35" s="37">
        <f t="shared" si="1"/>
        <v>2.536253</v>
      </c>
      <c r="I35" s="45">
        <v>0.28</v>
      </c>
      <c r="J35" s="37">
        <f t="shared" si="2"/>
        <v>106.3273</v>
      </c>
    </row>
    <row r="36" spans="1:10">
      <c r="A36" s="23">
        <v>31</v>
      </c>
      <c r="B36" s="101" t="s">
        <v>151</v>
      </c>
      <c r="C36" s="45">
        <v>17.68500496</v>
      </c>
      <c r="D36" s="45">
        <v>13.8478905</v>
      </c>
      <c r="E36" s="45">
        <v>5.6</v>
      </c>
      <c r="F36" s="37">
        <f t="shared" si="3"/>
        <v>37.13289546</v>
      </c>
      <c r="G36" s="102">
        <v>38.5701</v>
      </c>
      <c r="H36" s="37">
        <f t="shared" si="1"/>
        <v>-1.43720454</v>
      </c>
      <c r="I36" s="45">
        <v>0.56</v>
      </c>
      <c r="J36" s="37">
        <f t="shared" si="2"/>
        <v>38.0101</v>
      </c>
    </row>
    <row r="37" spans="1:10">
      <c r="A37" s="23">
        <v>32</v>
      </c>
      <c r="B37" s="101" t="s">
        <v>229</v>
      </c>
      <c r="C37" s="45">
        <v>19.8007491</v>
      </c>
      <c r="D37" s="45">
        <v>33.89289712</v>
      </c>
      <c r="E37" s="45">
        <v>7.7</v>
      </c>
      <c r="F37" s="37">
        <f t="shared" si="3"/>
        <v>61.39364622</v>
      </c>
      <c r="G37" s="102">
        <v>63.0991</v>
      </c>
      <c r="H37" s="37">
        <f t="shared" si="1"/>
        <v>-1.70545378</v>
      </c>
      <c r="I37" s="45">
        <v>0.26</v>
      </c>
      <c r="J37" s="37">
        <f t="shared" si="2"/>
        <v>62.8391</v>
      </c>
    </row>
    <row r="38" spans="1:10">
      <c r="A38" s="23">
        <v>33</v>
      </c>
      <c r="B38" s="101" t="s">
        <v>142</v>
      </c>
      <c r="C38" s="45">
        <v>45.24157094</v>
      </c>
      <c r="D38" s="45">
        <v>23.56166675</v>
      </c>
      <c r="E38" s="45">
        <v>10.5</v>
      </c>
      <c r="F38" s="37">
        <f t="shared" si="3"/>
        <v>79.30323769</v>
      </c>
      <c r="G38" s="102">
        <v>73.1761</v>
      </c>
      <c r="H38" s="37">
        <f t="shared" si="1"/>
        <v>6.12713769</v>
      </c>
      <c r="I38" s="45">
        <v>0.46</v>
      </c>
      <c r="J38" s="37">
        <f t="shared" si="2"/>
        <v>72.7161</v>
      </c>
    </row>
    <row r="39" s="48" customFormat="1" spans="1:10">
      <c r="A39" s="103">
        <v>34</v>
      </c>
      <c r="B39" s="104" t="s">
        <v>145</v>
      </c>
      <c r="C39" s="45">
        <v>3.80971466</v>
      </c>
      <c r="D39" s="45">
        <v>18.544365</v>
      </c>
      <c r="E39" s="45">
        <v>6.6</v>
      </c>
      <c r="F39" s="57">
        <f t="shared" si="3"/>
        <v>28.95407966</v>
      </c>
      <c r="G39" s="102">
        <v>28.6305</v>
      </c>
      <c r="H39" s="57">
        <f t="shared" si="1"/>
        <v>0.323579659999996</v>
      </c>
      <c r="I39" s="45">
        <v>0.18</v>
      </c>
      <c r="J39" s="57">
        <f t="shared" si="2"/>
        <v>28.4505</v>
      </c>
    </row>
    <row r="40" spans="1:10">
      <c r="A40" s="23">
        <v>35</v>
      </c>
      <c r="B40" s="101" t="s">
        <v>230</v>
      </c>
      <c r="C40" s="45">
        <v>6.25650297</v>
      </c>
      <c r="D40" s="45">
        <v>32.99617072</v>
      </c>
      <c r="E40" s="45">
        <v>3.5</v>
      </c>
      <c r="F40" s="37">
        <f t="shared" si="3"/>
        <v>42.75267369</v>
      </c>
      <c r="G40" s="102">
        <v>43.5502</v>
      </c>
      <c r="H40" s="37">
        <f t="shared" si="1"/>
        <v>-0.797526309999995</v>
      </c>
      <c r="I40" s="45">
        <v>0.36</v>
      </c>
      <c r="J40" s="37">
        <f t="shared" si="2"/>
        <v>43.1902</v>
      </c>
    </row>
    <row r="41" spans="1:10">
      <c r="A41" s="105"/>
      <c r="B41" s="106" t="s">
        <v>122</v>
      </c>
      <c r="C41" s="107">
        <f t="shared" ref="C41:J41" si="4">SUM(C6:C40)</f>
        <v>350.39643941</v>
      </c>
      <c r="D41" s="107">
        <f t="shared" si="4"/>
        <v>3690.18773548</v>
      </c>
      <c r="E41" s="107">
        <f t="shared" si="4"/>
        <v>146.6</v>
      </c>
      <c r="F41" s="107">
        <f t="shared" si="4"/>
        <v>4185.28314113</v>
      </c>
      <c r="G41" s="107">
        <f t="shared" si="4"/>
        <v>4294.6166</v>
      </c>
      <c r="H41" s="107">
        <f t="shared" si="4"/>
        <v>-109.33345887</v>
      </c>
      <c r="I41" s="107">
        <f t="shared" si="4"/>
        <v>20.6</v>
      </c>
      <c r="J41" s="107">
        <f t="shared" si="4"/>
        <v>4274.0166</v>
      </c>
    </row>
    <row r="42" spans="7:7">
      <c r="G42" s="49"/>
    </row>
    <row r="43" spans="1:1">
      <c r="A43" t="s">
        <v>231</v>
      </c>
    </row>
    <row r="44" spans="1:1">
      <c r="A44" t="s">
        <v>232</v>
      </c>
    </row>
    <row r="45" spans="1:1">
      <c r="A45" t="s">
        <v>233</v>
      </c>
    </row>
  </sheetData>
  <mergeCells count="7">
    <mergeCell ref="C4:F4"/>
    <mergeCell ref="A4:A5"/>
    <mergeCell ref="B4:B5"/>
    <mergeCell ref="G4:G5"/>
    <mergeCell ref="H4:H5"/>
    <mergeCell ref="I4:I5"/>
    <mergeCell ref="J4:J5"/>
  </mergeCells>
  <printOptions horizontalCentered="1"/>
  <pageMargins left="0.357638888888889" right="0.357638888888889" top="1" bottom="1"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14"/>
  <sheetViews>
    <sheetView tabSelected="1" workbookViewId="0">
      <pane xSplit="4" ySplit="5" topLeftCell="E306" activePane="bottomRight" state="frozen"/>
      <selection/>
      <selection pane="topRight"/>
      <selection pane="bottomLeft"/>
      <selection pane="bottomRight" activeCell="P313" sqref="P313"/>
    </sheetView>
  </sheetViews>
  <sheetFormatPr defaultColWidth="9" defaultRowHeight="21" customHeight="1"/>
  <cols>
    <col min="1" max="1" width="4.81818181818182" customWidth="1"/>
    <col min="2" max="2" width="6.75454545454545" style="9" customWidth="1"/>
    <col min="3" max="3" width="15.2727272727273" customWidth="1"/>
    <col min="4" max="4" width="7.45454545454545" style="8" customWidth="1"/>
    <col min="5" max="6" width="8.45454545454546" customWidth="1"/>
    <col min="7" max="7" width="8" customWidth="1"/>
    <col min="8" max="8" width="8.18181818181818" customWidth="1"/>
    <col min="9" max="9" width="9" customWidth="1"/>
    <col min="10" max="10" width="9.36363636363636" customWidth="1"/>
    <col min="11" max="11" width="9.72727272727273" customWidth="1"/>
    <col min="12" max="12" width="9" customWidth="1"/>
    <col min="13" max="13" width="8.90909090909091" customWidth="1"/>
    <col min="14" max="14" width="9.18181818181818" customWidth="1"/>
    <col min="15" max="15" width="8.18181818181818" customWidth="1"/>
    <col min="16" max="16" width="8.45454545454546" customWidth="1"/>
  </cols>
  <sheetData>
    <row r="1" ht="15" customHeight="1" spans="1:1">
      <c r="A1" t="s">
        <v>234</v>
      </c>
    </row>
    <row r="2" ht="24" customHeight="1" spans="1:16">
      <c r="A2" s="41" t="s">
        <v>235</v>
      </c>
      <c r="B2" s="62"/>
      <c r="C2" s="41"/>
      <c r="D2" s="63"/>
      <c r="E2" s="41"/>
      <c r="F2" s="41"/>
      <c r="G2" s="41"/>
      <c r="H2" s="41"/>
      <c r="I2" s="41"/>
      <c r="J2" s="41"/>
      <c r="K2" s="41"/>
      <c r="L2" s="41"/>
      <c r="M2" s="41"/>
      <c r="N2" s="41"/>
      <c r="O2" s="41"/>
      <c r="P2" s="41"/>
    </row>
    <row r="3" customFormat="1" ht="17" customHeight="1" spans="1:16">
      <c r="A3" s="41"/>
      <c r="B3" s="62"/>
      <c r="C3" s="41"/>
      <c r="D3" s="63"/>
      <c r="E3" s="41"/>
      <c r="F3" s="41"/>
      <c r="G3" s="41"/>
      <c r="H3" s="41"/>
      <c r="I3" s="41"/>
      <c r="J3" s="41"/>
      <c r="K3" s="41"/>
      <c r="L3" s="41"/>
      <c r="M3" s="41"/>
      <c r="N3" s="41"/>
      <c r="O3" s="41"/>
      <c r="P3" s="81" t="s">
        <v>125</v>
      </c>
    </row>
    <row r="4" s="60" customFormat="1" ht="34" customHeight="1" spans="1:16">
      <c r="A4" s="64" t="s">
        <v>126</v>
      </c>
      <c r="B4" s="65" t="s">
        <v>236</v>
      </c>
      <c r="C4" s="65" t="s">
        <v>237</v>
      </c>
      <c r="D4" s="66" t="s">
        <v>238</v>
      </c>
      <c r="E4" s="67" t="s">
        <v>239</v>
      </c>
      <c r="F4" s="67" t="s">
        <v>240</v>
      </c>
      <c r="G4" s="67" t="s">
        <v>241</v>
      </c>
      <c r="H4" s="67" t="s">
        <v>242</v>
      </c>
      <c r="I4" s="67" t="s">
        <v>243</v>
      </c>
      <c r="J4" s="67" t="s">
        <v>244</v>
      </c>
      <c r="K4" s="67" t="s">
        <v>245</v>
      </c>
      <c r="L4" s="67" t="s">
        <v>246</v>
      </c>
      <c r="M4" s="67" t="s">
        <v>247</v>
      </c>
      <c r="N4" s="67" t="s">
        <v>248</v>
      </c>
      <c r="O4" s="64" t="s">
        <v>249</v>
      </c>
      <c r="P4" s="67" t="s">
        <v>250</v>
      </c>
    </row>
    <row r="5" s="60" customFormat="1" customHeight="1" spans="1:16">
      <c r="A5" s="64"/>
      <c r="B5" s="68"/>
      <c r="C5" s="68"/>
      <c r="D5" s="69"/>
      <c r="E5" s="70">
        <v>0.3</v>
      </c>
      <c r="F5" s="70">
        <v>0.25</v>
      </c>
      <c r="G5" s="70">
        <v>0.24</v>
      </c>
      <c r="H5" s="70">
        <v>0.23</v>
      </c>
      <c r="I5" s="70">
        <v>0.21</v>
      </c>
      <c r="J5" s="70">
        <v>0.2</v>
      </c>
      <c r="K5" s="70">
        <v>0.19</v>
      </c>
      <c r="L5" s="70">
        <v>0.18</v>
      </c>
      <c r="M5" s="64" t="s">
        <v>251</v>
      </c>
      <c r="N5" s="82"/>
      <c r="O5" s="82"/>
      <c r="P5" s="82"/>
    </row>
    <row r="6" s="61" customFormat="1" customHeight="1" spans="1:16">
      <c r="A6" s="71">
        <v>1</v>
      </c>
      <c r="B6" s="72" t="s">
        <v>252</v>
      </c>
      <c r="C6" s="73" t="s">
        <v>253</v>
      </c>
      <c r="D6" s="74">
        <v>18.513897</v>
      </c>
      <c r="E6" s="74">
        <f>(10000*E5)/10000</f>
        <v>0.3</v>
      </c>
      <c r="F6" s="74">
        <f>(10000*F5)/10000</f>
        <v>0.25</v>
      </c>
      <c r="G6" s="74">
        <f>(20000*G5)/10000</f>
        <v>0.48</v>
      </c>
      <c r="H6" s="74">
        <f>(20000*H5)/10000</f>
        <v>0.46</v>
      </c>
      <c r="I6" s="74">
        <f>(40000*I5)/10000</f>
        <v>0.84</v>
      </c>
      <c r="J6" s="74">
        <f>(50000*J5)/10000</f>
        <v>1</v>
      </c>
      <c r="K6" s="74">
        <f>(35138.97*K5)/10000</f>
        <v>0.66764043</v>
      </c>
      <c r="L6" s="74"/>
      <c r="M6" s="74"/>
      <c r="N6" s="74">
        <f>SUM(E6:M6)</f>
        <v>3.99764043</v>
      </c>
      <c r="O6" s="83">
        <v>3.887943</v>
      </c>
      <c r="P6" s="84">
        <f t="shared" ref="P6:P10" si="0">N6-O6</f>
        <v>0.10969743</v>
      </c>
    </row>
    <row r="7" s="61" customFormat="1" customHeight="1" spans="1:16">
      <c r="A7" s="71">
        <v>2</v>
      </c>
      <c r="B7" s="75"/>
      <c r="C7" s="73" t="s">
        <v>254</v>
      </c>
      <c r="D7" s="74">
        <v>4.398192</v>
      </c>
      <c r="E7" s="74">
        <f>(10000*E5)/10000</f>
        <v>0.3</v>
      </c>
      <c r="F7" s="74">
        <f>(10000*F5)/10000</f>
        <v>0.25</v>
      </c>
      <c r="G7" s="74">
        <f>(20000*G5)/10000</f>
        <v>0.48</v>
      </c>
      <c r="H7" s="74">
        <f>(3981.92*H5)/10000</f>
        <v>0.09158416</v>
      </c>
      <c r="I7" s="74"/>
      <c r="J7" s="74"/>
      <c r="K7" s="74"/>
      <c r="L7" s="74"/>
      <c r="M7" s="74"/>
      <c r="N7" s="74">
        <f>SUM(E7:M7)</f>
        <v>1.12158416</v>
      </c>
      <c r="O7" s="83">
        <v>1.067573</v>
      </c>
      <c r="P7" s="84">
        <f t="shared" si="0"/>
        <v>0.0540111600000002</v>
      </c>
    </row>
    <row r="8" s="61" customFormat="1" customHeight="1" spans="1:16">
      <c r="A8" s="71">
        <v>3</v>
      </c>
      <c r="B8" s="75"/>
      <c r="C8" s="73" t="s">
        <v>255</v>
      </c>
      <c r="D8" s="74">
        <v>3.638487</v>
      </c>
      <c r="E8" s="74">
        <f>(10000*E5)/10000</f>
        <v>0.3</v>
      </c>
      <c r="F8" s="74">
        <f>(10000*F5)/10000</f>
        <v>0.25</v>
      </c>
      <c r="G8" s="74">
        <f>(16384.87*G5)/10000</f>
        <v>0.39323688</v>
      </c>
      <c r="H8" s="74"/>
      <c r="I8" s="74"/>
      <c r="J8" s="74"/>
      <c r="K8" s="74"/>
      <c r="L8" s="74"/>
      <c r="M8" s="74"/>
      <c r="N8" s="74">
        <f>SUM(E8:M8)</f>
        <v>0.94323688</v>
      </c>
      <c r="O8" s="83">
        <v>0.887849</v>
      </c>
      <c r="P8" s="84">
        <f t="shared" si="0"/>
        <v>0.0553878799999999</v>
      </c>
    </row>
    <row r="9" s="61" customFormat="1" customHeight="1" spans="1:16">
      <c r="A9" s="71">
        <v>4</v>
      </c>
      <c r="B9" s="75"/>
      <c r="C9" s="73" t="s">
        <v>256</v>
      </c>
      <c r="D9" s="74">
        <v>0.26995</v>
      </c>
      <c r="E9" s="76">
        <f>D9*E5</f>
        <v>0.080985</v>
      </c>
      <c r="F9" s="74"/>
      <c r="G9" s="74"/>
      <c r="H9" s="74"/>
      <c r="I9" s="74"/>
      <c r="J9" s="74"/>
      <c r="K9" s="74"/>
      <c r="M9" s="74"/>
      <c r="N9" s="74">
        <f>SUM(E9:M9)</f>
        <v>0.080985</v>
      </c>
      <c r="O9" s="83">
        <v>0.081</v>
      </c>
      <c r="P9" s="84">
        <f t="shared" si="0"/>
        <v>-1.50000000000011e-5</v>
      </c>
    </row>
    <row r="10" s="61" customFormat="1" customHeight="1" spans="1:16">
      <c r="A10" s="71">
        <v>5</v>
      </c>
      <c r="B10" s="77"/>
      <c r="C10" s="73" t="s">
        <v>257</v>
      </c>
      <c r="D10" s="74">
        <v>0.376855</v>
      </c>
      <c r="E10" s="76">
        <f>D10*E6</f>
        <v>0.1130565</v>
      </c>
      <c r="F10" s="74"/>
      <c r="G10" s="74"/>
      <c r="H10" s="74"/>
      <c r="I10" s="74"/>
      <c r="J10" s="74"/>
      <c r="K10" s="74"/>
      <c r="L10" s="74"/>
      <c r="M10" s="74"/>
      <c r="N10" s="74">
        <f>SUM(E10:M10)</f>
        <v>0.1130565</v>
      </c>
      <c r="O10" s="83">
        <v>0.1131</v>
      </c>
      <c r="P10" s="84">
        <f t="shared" si="0"/>
        <v>-4.35000000000157e-5</v>
      </c>
    </row>
    <row r="11" s="61" customFormat="1" customHeight="1" spans="1:16">
      <c r="A11" s="71">
        <v>6</v>
      </c>
      <c r="B11" s="75"/>
      <c r="C11" s="78"/>
      <c r="D11" s="74"/>
      <c r="E11" s="74"/>
      <c r="F11" s="74"/>
      <c r="G11" s="74"/>
      <c r="H11" s="74"/>
      <c r="I11" s="74"/>
      <c r="J11" s="74"/>
      <c r="K11" s="74"/>
      <c r="M11" s="74"/>
      <c r="N11" s="85">
        <f>SUM(N6:N10)</f>
        <v>6.25650297</v>
      </c>
      <c r="O11" s="80"/>
      <c r="P11" s="84"/>
    </row>
    <row r="12" s="61" customFormat="1" customHeight="1" spans="1:16">
      <c r="A12" s="71">
        <v>7</v>
      </c>
      <c r="B12" s="72" t="s">
        <v>258</v>
      </c>
      <c r="C12" s="73" t="s">
        <v>259</v>
      </c>
      <c r="D12" s="74">
        <v>18.742621</v>
      </c>
      <c r="E12" s="74">
        <f>(10000*E5)/10000</f>
        <v>0.3</v>
      </c>
      <c r="F12" s="74">
        <f>(10000*F5)/10000</f>
        <v>0.25</v>
      </c>
      <c r="G12" s="74">
        <f>(20000*G5)/10000</f>
        <v>0.48</v>
      </c>
      <c r="H12" s="74">
        <f>(20000*H5)/10000</f>
        <v>0.46</v>
      </c>
      <c r="I12" s="74">
        <f>(40000*I5)/10000</f>
        <v>0.84</v>
      </c>
      <c r="J12" s="74">
        <f>(50000*J5)/10000</f>
        <v>1</v>
      </c>
      <c r="K12" s="74">
        <f>(37426.21*K5)/10000</f>
        <v>0.71109799</v>
      </c>
      <c r="L12" s="74"/>
      <c r="M12" s="74"/>
      <c r="N12" s="74">
        <f t="shared" ref="N12:N18" si="1">SUM(E12:M12)</f>
        <v>4.04109799</v>
      </c>
      <c r="O12" s="83">
        <v>3.81781779</v>
      </c>
      <c r="P12" s="84">
        <f t="shared" ref="P12:P18" si="2">N12-O12</f>
        <v>0.2232802</v>
      </c>
    </row>
    <row r="13" s="61" customFormat="1" customHeight="1" spans="1:16">
      <c r="A13" s="71">
        <v>8</v>
      </c>
      <c r="B13" s="75"/>
      <c r="C13" s="73" t="s">
        <v>260</v>
      </c>
      <c r="D13" s="74">
        <v>17.456106</v>
      </c>
      <c r="E13" s="74">
        <v>0.3</v>
      </c>
      <c r="F13" s="74">
        <v>0.25</v>
      </c>
      <c r="G13" s="74">
        <v>0.48</v>
      </c>
      <c r="H13" s="74">
        <v>0.46</v>
      </c>
      <c r="I13" s="74">
        <v>0.84</v>
      </c>
      <c r="J13" s="74">
        <v>1</v>
      </c>
      <c r="K13" s="74">
        <f>(24561.06*K5)/10000</f>
        <v>0.46666014</v>
      </c>
      <c r="L13" s="74"/>
      <c r="M13" s="74"/>
      <c r="N13" s="74">
        <f t="shared" si="1"/>
        <v>3.79666014</v>
      </c>
      <c r="O13" s="83">
        <v>3.66578279</v>
      </c>
      <c r="P13" s="84">
        <f t="shared" si="2"/>
        <v>0.13087735</v>
      </c>
    </row>
    <row r="14" s="61" customFormat="1" customHeight="1" spans="1:16">
      <c r="A14" s="71">
        <v>9</v>
      </c>
      <c r="B14" s="75"/>
      <c r="C14" s="73" t="s">
        <v>261</v>
      </c>
      <c r="D14" s="74">
        <v>3.864629</v>
      </c>
      <c r="E14" s="74">
        <v>0.3</v>
      </c>
      <c r="F14" s="74">
        <v>0.25</v>
      </c>
      <c r="G14" s="74">
        <f>(18646.29*G5)/10000</f>
        <v>0.44751096</v>
      </c>
      <c r="H14" s="74"/>
      <c r="I14" s="74"/>
      <c r="J14" s="74"/>
      <c r="K14" s="74"/>
      <c r="L14" s="74"/>
      <c r="M14" s="74"/>
      <c r="N14" s="74">
        <f t="shared" si="1"/>
        <v>0.99751096</v>
      </c>
      <c r="O14" s="83">
        <v>0.94430875</v>
      </c>
      <c r="P14" s="84">
        <f t="shared" si="2"/>
        <v>0.0532022100000001</v>
      </c>
    </row>
    <row r="15" s="61" customFormat="1" customHeight="1" spans="1:16">
      <c r="A15" s="71">
        <v>10</v>
      </c>
      <c r="B15" s="75"/>
      <c r="C15" s="73" t="s">
        <v>262</v>
      </c>
      <c r="D15" s="74">
        <v>0.72808</v>
      </c>
      <c r="E15" s="74">
        <f>D15*E5</f>
        <v>0.218424</v>
      </c>
      <c r="F15" s="74"/>
      <c r="G15" s="74"/>
      <c r="H15" s="74"/>
      <c r="I15" s="74"/>
      <c r="J15" s="74"/>
      <c r="K15" s="74"/>
      <c r="L15" s="74"/>
      <c r="M15" s="74"/>
      <c r="N15" s="74">
        <f t="shared" si="1"/>
        <v>0.218424</v>
      </c>
      <c r="O15" s="83">
        <v>0.218384</v>
      </c>
      <c r="P15" s="84">
        <f t="shared" si="2"/>
        <v>3.99999999999845e-5</v>
      </c>
    </row>
    <row r="16" s="61" customFormat="1" customHeight="1" spans="1:16">
      <c r="A16" s="71">
        <v>11</v>
      </c>
      <c r="B16" s="75"/>
      <c r="C16" s="73" t="s">
        <v>263</v>
      </c>
      <c r="D16" s="74">
        <v>23.214207</v>
      </c>
      <c r="E16" s="74">
        <v>0.3</v>
      </c>
      <c r="F16" s="74">
        <v>0.25</v>
      </c>
      <c r="G16" s="74">
        <v>0.48</v>
      </c>
      <c r="H16" s="74">
        <v>0.46</v>
      </c>
      <c r="I16" s="74">
        <v>0.84</v>
      </c>
      <c r="J16" s="74">
        <v>1</v>
      </c>
      <c r="K16" s="74">
        <f>(50000*K5)/10000</f>
        <v>0.95</v>
      </c>
      <c r="L16" s="74">
        <f>(32142.07*L5)/10000</f>
        <v>0.57855726</v>
      </c>
      <c r="M16" s="74"/>
      <c r="N16" s="74">
        <f t="shared" si="1"/>
        <v>4.85855726</v>
      </c>
      <c r="O16" s="83">
        <v>4.56295676</v>
      </c>
      <c r="P16" s="84">
        <f t="shared" si="2"/>
        <v>0.2956005</v>
      </c>
    </row>
    <row r="17" s="61" customFormat="1" customHeight="1" spans="1:16">
      <c r="A17" s="71">
        <v>12</v>
      </c>
      <c r="B17" s="75"/>
      <c r="C17" s="73" t="s">
        <v>264</v>
      </c>
      <c r="D17" s="74">
        <v>2.15108</v>
      </c>
      <c r="E17" s="74">
        <v>0.3</v>
      </c>
      <c r="F17" s="74">
        <v>0.25</v>
      </c>
      <c r="G17" s="74">
        <f>(1510.8*G5)/10000</f>
        <v>0.0362592</v>
      </c>
      <c r="H17" s="74"/>
      <c r="I17" s="74"/>
      <c r="J17" s="74"/>
      <c r="K17" s="74"/>
      <c r="L17" s="74"/>
      <c r="M17" s="74"/>
      <c r="N17" s="74">
        <f t="shared" si="1"/>
        <v>0.5862592</v>
      </c>
      <c r="O17" s="83">
        <v>0.5849</v>
      </c>
      <c r="P17" s="84">
        <f t="shared" si="2"/>
        <v>0.00135920000000012</v>
      </c>
    </row>
    <row r="18" s="61" customFormat="1" customHeight="1" spans="1:16">
      <c r="A18" s="71">
        <v>13</v>
      </c>
      <c r="B18" s="77"/>
      <c r="C18" s="73" t="s">
        <v>265</v>
      </c>
      <c r="D18" s="74">
        <v>1.292665</v>
      </c>
      <c r="E18" s="74">
        <v>0.3</v>
      </c>
      <c r="F18" s="74">
        <f>(2926.65*F5)/10000</f>
        <v>0.07316625</v>
      </c>
      <c r="G18" s="74"/>
      <c r="H18" s="74"/>
      <c r="I18" s="74"/>
      <c r="J18" s="74"/>
      <c r="K18" s="74"/>
      <c r="L18" s="74"/>
      <c r="M18" s="74"/>
      <c r="N18" s="74">
        <f t="shared" si="1"/>
        <v>0.37316625</v>
      </c>
      <c r="O18" s="83">
        <v>0.3349975</v>
      </c>
      <c r="P18" s="84">
        <f t="shared" si="2"/>
        <v>0.03816875</v>
      </c>
    </row>
    <row r="19" s="61" customFormat="1" customHeight="1" spans="1:16">
      <c r="A19" s="71">
        <v>14</v>
      </c>
      <c r="B19" s="75"/>
      <c r="C19" s="78"/>
      <c r="D19" s="74"/>
      <c r="E19" s="74"/>
      <c r="F19" s="74"/>
      <c r="G19" s="74"/>
      <c r="H19" s="74"/>
      <c r="I19" s="74"/>
      <c r="J19" s="74"/>
      <c r="K19" s="74"/>
      <c r="L19" s="74"/>
      <c r="M19" s="74"/>
      <c r="N19" s="85">
        <f>SUM(N12:N18)</f>
        <v>14.8716758</v>
      </c>
      <c r="O19" s="80"/>
      <c r="P19" s="84"/>
    </row>
    <row r="20" s="61" customFormat="1" customHeight="1" spans="1:16">
      <c r="A20" s="71">
        <v>15</v>
      </c>
      <c r="B20" s="72" t="s">
        <v>266</v>
      </c>
      <c r="C20" s="73" t="s">
        <v>267</v>
      </c>
      <c r="D20" s="74">
        <v>3.3185</v>
      </c>
      <c r="E20" s="74">
        <v>0.3</v>
      </c>
      <c r="F20" s="74">
        <v>0.25</v>
      </c>
      <c r="G20" s="74">
        <f>(13185*G5)/10000</f>
        <v>0.31644</v>
      </c>
      <c r="H20" s="74"/>
      <c r="I20" s="74"/>
      <c r="J20" s="74"/>
      <c r="K20" s="74"/>
      <c r="L20" s="74"/>
      <c r="M20" s="74"/>
      <c r="N20" s="74">
        <f t="shared" ref="N20:N25" si="3">SUM(E20:M20)</f>
        <v>0.86644</v>
      </c>
      <c r="O20" s="83">
        <v>0.8296475</v>
      </c>
      <c r="P20" s="84">
        <f t="shared" ref="P20:P25" si="4">N20-O20</f>
        <v>0.0367925000000001</v>
      </c>
    </row>
    <row r="21" s="61" customFormat="1" customHeight="1" spans="1:16">
      <c r="A21" s="71">
        <v>16</v>
      </c>
      <c r="B21" s="75"/>
      <c r="C21" s="73" t="s">
        <v>268</v>
      </c>
      <c r="D21" s="74">
        <v>2.621729</v>
      </c>
      <c r="E21" s="74">
        <v>0.3</v>
      </c>
      <c r="F21" s="74">
        <v>0.25</v>
      </c>
      <c r="G21" s="74">
        <f>(6217.29*G5)/10000</f>
        <v>0.14921496</v>
      </c>
      <c r="H21" s="74"/>
      <c r="I21" s="74"/>
      <c r="J21" s="74"/>
      <c r="K21" s="74"/>
      <c r="L21" s="74"/>
      <c r="M21" s="74"/>
      <c r="N21" s="74">
        <f t="shared" si="3"/>
        <v>0.69921496</v>
      </c>
      <c r="O21" s="83">
        <v>0.664706</v>
      </c>
      <c r="P21" s="84">
        <f t="shared" si="4"/>
        <v>0.03450896</v>
      </c>
    </row>
    <row r="22" s="61" customFormat="1" customHeight="1" spans="1:16">
      <c r="A22" s="71">
        <v>17</v>
      </c>
      <c r="B22" s="75"/>
      <c r="C22" s="73" t="s">
        <v>269</v>
      </c>
      <c r="D22" s="74">
        <v>2.012335</v>
      </c>
      <c r="E22" s="74">
        <v>0.3</v>
      </c>
      <c r="F22" s="74">
        <v>0.25</v>
      </c>
      <c r="G22" s="74">
        <f>(123.35*G5)/10000</f>
        <v>0.0029604</v>
      </c>
      <c r="H22" s="74"/>
      <c r="I22" s="74"/>
      <c r="J22" s="74"/>
      <c r="K22" s="74"/>
      <c r="L22" s="74"/>
      <c r="M22" s="74"/>
      <c r="N22" s="74">
        <f t="shared" si="3"/>
        <v>0.5529604</v>
      </c>
      <c r="O22" s="83">
        <v>0.552298</v>
      </c>
      <c r="P22" s="84">
        <f t="shared" si="4"/>
        <v>0.000662400000000063</v>
      </c>
    </row>
    <row r="23" s="61" customFormat="1" customHeight="1" spans="1:16">
      <c r="A23" s="71">
        <v>18</v>
      </c>
      <c r="B23" s="75"/>
      <c r="C23" s="73" t="s">
        <v>270</v>
      </c>
      <c r="D23" s="74">
        <v>2.193154</v>
      </c>
      <c r="E23" s="74">
        <v>0.3</v>
      </c>
      <c r="F23" s="74">
        <v>0.25</v>
      </c>
      <c r="G23" s="74">
        <f>(1931.54*G5)/10000</f>
        <v>0.04635696</v>
      </c>
      <c r="H23" s="74"/>
      <c r="I23" s="74"/>
      <c r="J23" s="74"/>
      <c r="K23" s="74"/>
      <c r="L23" s="74"/>
      <c r="M23" s="74"/>
      <c r="N23" s="74">
        <f t="shared" si="3"/>
        <v>0.59635696</v>
      </c>
      <c r="O23" s="83">
        <v>0.58603925</v>
      </c>
      <c r="P23" s="84">
        <f t="shared" si="4"/>
        <v>0.01031771</v>
      </c>
    </row>
    <row r="24" s="61" customFormat="1" customHeight="1" spans="1:16">
      <c r="A24" s="71">
        <v>19</v>
      </c>
      <c r="B24" s="75"/>
      <c r="C24" s="73" t="s">
        <v>271</v>
      </c>
      <c r="D24" s="74">
        <v>0.34081</v>
      </c>
      <c r="E24" s="74">
        <f>D24*E5</f>
        <v>0.102243</v>
      </c>
      <c r="F24" s="74"/>
      <c r="G24" s="74"/>
      <c r="H24" s="74"/>
      <c r="I24" s="74"/>
      <c r="J24" s="74"/>
      <c r="K24" s="74"/>
      <c r="L24" s="74"/>
      <c r="M24" s="74"/>
      <c r="N24" s="74">
        <f t="shared" si="3"/>
        <v>0.102243</v>
      </c>
      <c r="O24" s="83">
        <v>0.102288</v>
      </c>
      <c r="P24" s="84">
        <f t="shared" si="4"/>
        <v>-4.50000000000034e-5</v>
      </c>
    </row>
    <row r="25" s="61" customFormat="1" customHeight="1" spans="1:16">
      <c r="A25" s="71">
        <v>20</v>
      </c>
      <c r="B25" s="77"/>
      <c r="C25" s="73" t="s">
        <v>272</v>
      </c>
      <c r="D25" s="74">
        <v>0.1</v>
      </c>
      <c r="E25" s="74">
        <f>D25*E6</f>
        <v>0.03</v>
      </c>
      <c r="F25" s="74"/>
      <c r="G25" s="74"/>
      <c r="H25" s="74"/>
      <c r="I25" s="74"/>
      <c r="J25" s="74"/>
      <c r="K25" s="74"/>
      <c r="L25" s="74"/>
      <c r="M25" s="74"/>
      <c r="N25" s="74">
        <f t="shared" si="3"/>
        <v>0.03</v>
      </c>
      <c r="O25" s="83">
        <v>0.03</v>
      </c>
      <c r="P25" s="84">
        <f t="shared" si="4"/>
        <v>0</v>
      </c>
    </row>
    <row r="26" s="61" customFormat="1" customHeight="1" spans="1:16">
      <c r="A26" s="71">
        <v>21</v>
      </c>
      <c r="B26" s="75"/>
      <c r="C26" s="78"/>
      <c r="D26" s="74"/>
      <c r="E26" s="74"/>
      <c r="F26" s="74"/>
      <c r="G26" s="74"/>
      <c r="H26" s="74"/>
      <c r="I26" s="74"/>
      <c r="J26" s="74"/>
      <c r="K26" s="74"/>
      <c r="M26" s="74"/>
      <c r="N26" s="85">
        <f>SUM(N20:N25)</f>
        <v>2.84721532</v>
      </c>
      <c r="O26" s="80"/>
      <c r="P26" s="84"/>
    </row>
    <row r="27" s="61" customFormat="1" customHeight="1" spans="1:16">
      <c r="A27" s="71">
        <v>22</v>
      </c>
      <c r="B27" s="72" t="s">
        <v>226</v>
      </c>
      <c r="C27" s="73" t="s">
        <v>273</v>
      </c>
      <c r="D27" s="74">
        <v>19.900206</v>
      </c>
      <c r="E27" s="74">
        <v>0.3</v>
      </c>
      <c r="F27" s="74">
        <v>0.25</v>
      </c>
      <c r="G27" s="74">
        <v>0.48</v>
      </c>
      <c r="H27" s="74">
        <v>0.46</v>
      </c>
      <c r="I27" s="74">
        <v>0.84</v>
      </c>
      <c r="J27" s="74">
        <v>1</v>
      </c>
      <c r="K27" s="74">
        <f>(49002.06*K5)/10000</f>
        <v>0.93103914</v>
      </c>
      <c r="L27" s="74"/>
      <c r="M27" s="74"/>
      <c r="N27" s="74">
        <f t="shared" ref="N27:N36" si="5">SUM(E27:M27)</f>
        <v>4.26103914</v>
      </c>
      <c r="O27" s="84">
        <v>3.847214</v>
      </c>
      <c r="P27" s="84">
        <f t="shared" ref="P27:P36" si="6">N27-O27</f>
        <v>0.41382514</v>
      </c>
    </row>
    <row r="28" s="61" customFormat="1" customHeight="1" spans="1:16">
      <c r="A28" s="71">
        <v>23</v>
      </c>
      <c r="B28" s="77"/>
      <c r="C28" s="73" t="s">
        <v>274</v>
      </c>
      <c r="D28" s="74">
        <v>1.776833</v>
      </c>
      <c r="E28" s="74">
        <v>0.3</v>
      </c>
      <c r="F28" s="74">
        <f>(7768.33*F5)/10000</f>
        <v>0.19420825</v>
      </c>
      <c r="G28" s="74"/>
      <c r="H28" s="74"/>
      <c r="I28" s="74"/>
      <c r="J28" s="74"/>
      <c r="K28" s="74"/>
      <c r="L28" s="74"/>
      <c r="M28" s="74"/>
      <c r="N28" s="74">
        <f t="shared" si="5"/>
        <v>0.49420825</v>
      </c>
      <c r="O28" s="84">
        <v>0.4442</v>
      </c>
      <c r="P28" s="84">
        <f t="shared" si="6"/>
        <v>0.05000825</v>
      </c>
    </row>
    <row r="29" s="61" customFormat="1" customHeight="1" spans="1:16">
      <c r="A29" s="71">
        <v>24</v>
      </c>
      <c r="B29" s="75"/>
      <c r="C29" s="78"/>
      <c r="D29" s="74"/>
      <c r="E29" s="74"/>
      <c r="F29" s="74"/>
      <c r="G29" s="74"/>
      <c r="H29" s="74"/>
      <c r="I29" s="74"/>
      <c r="J29" s="74"/>
      <c r="K29" s="74"/>
      <c r="L29" s="74"/>
      <c r="M29" s="74"/>
      <c r="N29" s="85">
        <f>N27+N28</f>
        <v>4.75524739</v>
      </c>
      <c r="O29" s="80"/>
      <c r="P29" s="84"/>
    </row>
    <row r="30" s="61" customFormat="1" customHeight="1" spans="1:16">
      <c r="A30" s="71">
        <v>25</v>
      </c>
      <c r="B30" s="72" t="s">
        <v>135</v>
      </c>
      <c r="C30" s="73" t="s">
        <v>275</v>
      </c>
      <c r="D30" s="74">
        <v>17.835148</v>
      </c>
      <c r="E30" s="74">
        <v>0.3</v>
      </c>
      <c r="F30" s="74">
        <v>0.25</v>
      </c>
      <c r="G30" s="74">
        <v>0.48</v>
      </c>
      <c r="H30" s="74">
        <v>0.46</v>
      </c>
      <c r="I30" s="74">
        <v>0.84</v>
      </c>
      <c r="J30" s="74">
        <v>1</v>
      </c>
      <c r="K30" s="74">
        <f>(28351.48*K5)/10000</f>
        <v>0.53867812</v>
      </c>
      <c r="L30" s="74"/>
      <c r="M30" s="74"/>
      <c r="N30" s="74">
        <f t="shared" si="5"/>
        <v>3.86867812</v>
      </c>
      <c r="O30" s="84">
        <v>3.74539941</v>
      </c>
      <c r="P30" s="84">
        <f t="shared" si="6"/>
        <v>0.12327871</v>
      </c>
    </row>
    <row r="31" s="61" customFormat="1" customHeight="1" spans="1:16">
      <c r="A31" s="71">
        <v>26</v>
      </c>
      <c r="B31" s="75"/>
      <c r="C31" s="73" t="s">
        <v>136</v>
      </c>
      <c r="D31" s="74">
        <v>8.900739</v>
      </c>
      <c r="E31" s="74">
        <v>0.3</v>
      </c>
      <c r="F31" s="74">
        <v>0.25</v>
      </c>
      <c r="G31" s="74">
        <v>0.48</v>
      </c>
      <c r="H31" s="74">
        <v>0.46</v>
      </c>
      <c r="I31" s="74">
        <f>(29007.39*I5)/10000</f>
        <v>0.60915519</v>
      </c>
      <c r="J31" s="74"/>
      <c r="K31" s="74"/>
      <c r="L31" s="74"/>
      <c r="M31" s="74"/>
      <c r="N31" s="74">
        <f t="shared" si="5"/>
        <v>2.09915519</v>
      </c>
      <c r="O31" s="84">
        <v>1.8692</v>
      </c>
      <c r="P31" s="84">
        <f t="shared" si="6"/>
        <v>0.22995519</v>
      </c>
    </row>
    <row r="32" s="61" customFormat="1" customHeight="1" spans="1:16">
      <c r="A32" s="71">
        <v>27</v>
      </c>
      <c r="B32" s="75"/>
      <c r="C32" s="73" t="s">
        <v>276</v>
      </c>
      <c r="D32" s="74">
        <v>3.10754</v>
      </c>
      <c r="E32" s="74">
        <v>0.3</v>
      </c>
      <c r="F32" s="74">
        <v>0.25</v>
      </c>
      <c r="G32" s="74">
        <f>(11075.4*G5)/10000</f>
        <v>0.2658096</v>
      </c>
      <c r="H32" s="74"/>
      <c r="I32" s="74"/>
      <c r="J32" s="74"/>
      <c r="K32" s="74"/>
      <c r="L32" s="74"/>
      <c r="M32" s="74"/>
      <c r="N32" s="74">
        <f t="shared" si="5"/>
        <v>0.8158096</v>
      </c>
      <c r="O32" s="84">
        <v>0.7539896</v>
      </c>
      <c r="P32" s="84">
        <f t="shared" si="6"/>
        <v>0.0618200000000001</v>
      </c>
    </row>
    <row r="33" s="61" customFormat="1" customHeight="1" spans="1:16">
      <c r="A33" s="71">
        <v>28</v>
      </c>
      <c r="B33" s="75"/>
      <c r="C33" s="73" t="s">
        <v>277</v>
      </c>
      <c r="D33" s="74">
        <v>0.145003</v>
      </c>
      <c r="E33" s="76">
        <f>D33*E5</f>
        <v>0.0435009</v>
      </c>
      <c r="F33" s="74"/>
      <c r="G33" s="74"/>
      <c r="H33" s="74"/>
      <c r="I33" s="74"/>
      <c r="J33" s="74"/>
      <c r="K33" s="74"/>
      <c r="L33" s="74"/>
      <c r="M33" s="74"/>
      <c r="N33" s="74">
        <f t="shared" si="5"/>
        <v>0.0435009</v>
      </c>
      <c r="O33" s="84">
        <v>0.0435009</v>
      </c>
      <c r="P33" s="84">
        <f t="shared" si="6"/>
        <v>0</v>
      </c>
    </row>
    <row r="34" s="61" customFormat="1" customHeight="1" spans="1:16">
      <c r="A34" s="71">
        <v>29</v>
      </c>
      <c r="B34" s="75"/>
      <c r="C34" s="73" t="s">
        <v>278</v>
      </c>
      <c r="D34" s="74">
        <v>2.616058</v>
      </c>
      <c r="E34" s="74">
        <v>0.3</v>
      </c>
      <c r="F34" s="74">
        <v>0.25</v>
      </c>
      <c r="G34" s="74">
        <f>(6160.58*G5)/10000</f>
        <v>0.14785392</v>
      </c>
      <c r="H34" s="74"/>
      <c r="I34" s="74"/>
      <c r="J34" s="74"/>
      <c r="K34" s="74"/>
      <c r="L34" s="74"/>
      <c r="M34" s="74"/>
      <c r="N34" s="74">
        <f t="shared" si="5"/>
        <v>0.69785392</v>
      </c>
      <c r="O34" s="84">
        <v>0.62785392</v>
      </c>
      <c r="P34" s="84">
        <f t="shared" si="6"/>
        <v>0.07</v>
      </c>
    </row>
    <row r="35" s="61" customFormat="1" customHeight="1" spans="1:16">
      <c r="A35" s="71">
        <v>30</v>
      </c>
      <c r="B35" s="75"/>
      <c r="C35" s="73" t="s">
        <v>279</v>
      </c>
      <c r="D35" s="74">
        <v>0.100545</v>
      </c>
      <c r="E35" s="74">
        <f>D35*E5</f>
        <v>0.0301635</v>
      </c>
      <c r="F35" s="74"/>
      <c r="G35" s="74"/>
      <c r="H35" s="74"/>
      <c r="I35" s="74"/>
      <c r="J35" s="74"/>
      <c r="K35" s="74"/>
      <c r="L35" s="74"/>
      <c r="M35" s="74"/>
      <c r="N35" s="74">
        <f t="shared" si="5"/>
        <v>0.0301635</v>
      </c>
      <c r="O35" s="84">
        <v>0.0301635</v>
      </c>
      <c r="P35" s="84">
        <f t="shared" si="6"/>
        <v>0</v>
      </c>
    </row>
    <row r="36" s="61" customFormat="1" customHeight="1" spans="1:16">
      <c r="A36" s="71">
        <v>31</v>
      </c>
      <c r="B36" s="77"/>
      <c r="C36" s="73" t="s">
        <v>280</v>
      </c>
      <c r="D36" s="74">
        <v>0.395249</v>
      </c>
      <c r="E36" s="74">
        <f>D36*E5</f>
        <v>0.1185747</v>
      </c>
      <c r="F36" s="74"/>
      <c r="G36" s="74"/>
      <c r="H36" s="74"/>
      <c r="I36" s="74"/>
      <c r="J36" s="74"/>
      <c r="K36" s="74"/>
      <c r="L36" s="74"/>
      <c r="M36" s="74"/>
      <c r="N36" s="74">
        <f t="shared" si="5"/>
        <v>0.1185747</v>
      </c>
      <c r="O36" s="84">
        <v>0.1185747</v>
      </c>
      <c r="P36" s="84">
        <f t="shared" si="6"/>
        <v>0</v>
      </c>
    </row>
    <row r="37" s="61" customFormat="1" customHeight="1" spans="1:16">
      <c r="A37" s="71">
        <v>32</v>
      </c>
      <c r="B37" s="77"/>
      <c r="C37" s="78"/>
      <c r="D37" s="74"/>
      <c r="E37" s="74"/>
      <c r="F37" s="74"/>
      <c r="G37" s="74"/>
      <c r="H37" s="74"/>
      <c r="I37" s="74"/>
      <c r="J37" s="74"/>
      <c r="K37" s="74"/>
      <c r="M37" s="74"/>
      <c r="N37" s="85">
        <f>SUM(N30:N36)</f>
        <v>7.67373593</v>
      </c>
      <c r="O37" s="80"/>
      <c r="P37" s="84"/>
    </row>
    <row r="38" s="61" customFormat="1" customHeight="1" spans="1:16">
      <c r="A38" s="71">
        <v>33</v>
      </c>
      <c r="B38" s="79" t="s">
        <v>137</v>
      </c>
      <c r="C38" s="73" t="s">
        <v>281</v>
      </c>
      <c r="D38" s="74">
        <v>25.724533</v>
      </c>
      <c r="E38" s="74">
        <v>0.3</v>
      </c>
      <c r="F38" s="74">
        <v>0.25</v>
      </c>
      <c r="G38" s="74">
        <v>0.48</v>
      </c>
      <c r="H38" s="74">
        <v>0.46</v>
      </c>
      <c r="I38" s="74">
        <v>0.84</v>
      </c>
      <c r="J38" s="74">
        <v>1</v>
      </c>
      <c r="K38" s="74">
        <v>0.95</v>
      </c>
      <c r="L38" s="74">
        <f>(57245.33*L5)/10000</f>
        <v>1.03041594</v>
      </c>
      <c r="M38" s="74"/>
      <c r="N38" s="74">
        <f t="shared" ref="N38:N45" si="7">SUM(E38:M38)</f>
        <v>5.31041594</v>
      </c>
      <c r="O38" s="84">
        <v>5.07895315</v>
      </c>
      <c r="P38" s="84">
        <f t="shared" ref="P38:P45" si="8">N38-O38</f>
        <v>0.231462790000001</v>
      </c>
    </row>
    <row r="39" s="61" customFormat="1" customHeight="1" spans="1:16">
      <c r="A39" s="71">
        <v>34</v>
      </c>
      <c r="B39" s="79"/>
      <c r="C39" s="73" t="s">
        <v>138</v>
      </c>
      <c r="D39" s="74">
        <v>0.145594</v>
      </c>
      <c r="E39" s="74">
        <f>D39*E5</f>
        <v>0.0436782</v>
      </c>
      <c r="F39" s="74"/>
      <c r="G39" s="74"/>
      <c r="H39" s="74"/>
      <c r="I39" s="74"/>
      <c r="J39" s="74"/>
      <c r="K39" s="74"/>
      <c r="L39" s="74"/>
      <c r="M39" s="74"/>
      <c r="N39" s="74">
        <f t="shared" si="7"/>
        <v>0.0436782</v>
      </c>
      <c r="O39" s="84">
        <v>0.0437</v>
      </c>
      <c r="P39" s="84">
        <f t="shared" si="8"/>
        <v>-2.18000000000024e-5</v>
      </c>
    </row>
    <row r="40" s="61" customFormat="1" customHeight="1" spans="1:16">
      <c r="A40" s="71">
        <v>35</v>
      </c>
      <c r="B40" s="79"/>
      <c r="C40" s="73" t="s">
        <v>282</v>
      </c>
      <c r="D40" s="74">
        <v>13.37607</v>
      </c>
      <c r="E40" s="74">
        <v>0.3</v>
      </c>
      <c r="F40" s="74">
        <v>0.25</v>
      </c>
      <c r="G40" s="74">
        <v>0.48</v>
      </c>
      <c r="H40" s="74">
        <v>0.46</v>
      </c>
      <c r="I40" s="74">
        <v>0.84</v>
      </c>
      <c r="J40" s="74">
        <f>(33760.7*J5)/10000</f>
        <v>0.675214</v>
      </c>
      <c r="K40" s="74"/>
      <c r="L40" s="74"/>
      <c r="M40" s="74"/>
      <c r="N40" s="74">
        <f t="shared" si="7"/>
        <v>3.005214</v>
      </c>
      <c r="O40" s="84">
        <v>2.92352738</v>
      </c>
      <c r="P40" s="84">
        <f t="shared" si="8"/>
        <v>0.0816866200000002</v>
      </c>
    </row>
    <row r="41" s="61" customFormat="1" customHeight="1" spans="1:16">
      <c r="A41" s="71">
        <v>36</v>
      </c>
      <c r="B41" s="79"/>
      <c r="C41" s="73" t="s">
        <v>283</v>
      </c>
      <c r="D41" s="74">
        <v>7.70816</v>
      </c>
      <c r="E41" s="74">
        <v>0.3</v>
      </c>
      <c r="F41" s="74">
        <v>0.25</v>
      </c>
      <c r="G41" s="74">
        <v>0.48</v>
      </c>
      <c r="H41" s="74">
        <v>0.46</v>
      </c>
      <c r="I41" s="74">
        <f>(17081.6*I5)/10000</f>
        <v>0.3587136</v>
      </c>
      <c r="J41" s="74"/>
      <c r="K41" s="74"/>
      <c r="L41" s="74"/>
      <c r="M41" s="74"/>
      <c r="N41" s="74">
        <f t="shared" si="7"/>
        <v>1.8487136</v>
      </c>
      <c r="O41" s="84">
        <v>1.80915244</v>
      </c>
      <c r="P41" s="84">
        <f t="shared" si="8"/>
        <v>0.0395611600000001</v>
      </c>
    </row>
    <row r="42" s="61" customFormat="1" customHeight="1" spans="1:16">
      <c r="A42" s="71">
        <v>37</v>
      </c>
      <c r="B42" s="79"/>
      <c r="C42" s="73" t="s">
        <v>139</v>
      </c>
      <c r="D42" s="74">
        <v>0</v>
      </c>
      <c r="E42" s="74"/>
      <c r="F42" s="74"/>
      <c r="G42" s="74"/>
      <c r="H42" s="74"/>
      <c r="I42" s="74"/>
      <c r="J42" s="74"/>
      <c r="K42" s="74"/>
      <c r="L42" s="74"/>
      <c r="M42" s="74"/>
      <c r="N42" s="74">
        <f t="shared" si="7"/>
        <v>0</v>
      </c>
      <c r="O42" s="84">
        <v>0</v>
      </c>
      <c r="P42" s="84">
        <f t="shared" si="8"/>
        <v>0</v>
      </c>
    </row>
    <row r="43" s="61" customFormat="1" customHeight="1" spans="1:16">
      <c r="A43" s="71">
        <v>38</v>
      </c>
      <c r="B43" s="79"/>
      <c r="C43" s="73" t="s">
        <v>140</v>
      </c>
      <c r="D43" s="74">
        <v>0</v>
      </c>
      <c r="E43" s="74"/>
      <c r="F43" s="74"/>
      <c r="G43" s="74"/>
      <c r="H43" s="74"/>
      <c r="I43" s="74"/>
      <c r="J43" s="74"/>
      <c r="K43" s="74"/>
      <c r="L43" s="74"/>
      <c r="M43" s="74"/>
      <c r="N43" s="74">
        <f t="shared" si="7"/>
        <v>0</v>
      </c>
      <c r="O43" s="84">
        <v>0</v>
      </c>
      <c r="P43" s="84">
        <f t="shared" si="8"/>
        <v>0</v>
      </c>
    </row>
    <row r="44" s="61" customFormat="1" customHeight="1" spans="1:16">
      <c r="A44" s="71">
        <v>39</v>
      </c>
      <c r="B44" s="79"/>
      <c r="C44" s="73" t="s">
        <v>141</v>
      </c>
      <c r="D44" s="74">
        <v>0</v>
      </c>
      <c r="E44" s="74"/>
      <c r="F44" s="74"/>
      <c r="G44" s="74"/>
      <c r="H44" s="74"/>
      <c r="I44" s="74"/>
      <c r="J44" s="74"/>
      <c r="K44" s="74"/>
      <c r="L44" s="74"/>
      <c r="M44" s="74"/>
      <c r="N44" s="74">
        <f t="shared" si="7"/>
        <v>0</v>
      </c>
      <c r="O44" s="84">
        <v>0</v>
      </c>
      <c r="P44" s="84">
        <f t="shared" si="8"/>
        <v>0</v>
      </c>
    </row>
    <row r="45" s="61" customFormat="1" customHeight="1" spans="1:16">
      <c r="A45" s="71">
        <v>40</v>
      </c>
      <c r="B45" s="79"/>
      <c r="C45" s="73" t="s">
        <v>284</v>
      </c>
      <c r="D45" s="74">
        <v>0.465686</v>
      </c>
      <c r="E45" s="74">
        <f>D45*E5</f>
        <v>0.1397058</v>
      </c>
      <c r="F45" s="74"/>
      <c r="G45" s="74"/>
      <c r="H45" s="74"/>
      <c r="I45" s="74"/>
      <c r="J45" s="74"/>
      <c r="K45" s="74"/>
      <c r="L45" s="74"/>
      <c r="M45" s="74"/>
      <c r="N45" s="74">
        <f t="shared" si="7"/>
        <v>0.1397058</v>
      </c>
      <c r="O45" s="84">
        <v>0.1396578</v>
      </c>
      <c r="P45" s="84">
        <f t="shared" si="8"/>
        <v>4.79999999999925e-5</v>
      </c>
    </row>
    <row r="46" s="61" customFormat="1" customHeight="1" spans="1:16">
      <c r="A46" s="71">
        <v>41</v>
      </c>
      <c r="B46" s="72"/>
      <c r="C46" s="78"/>
      <c r="D46" s="74"/>
      <c r="E46" s="74"/>
      <c r="F46" s="74"/>
      <c r="G46" s="74"/>
      <c r="H46" s="74"/>
      <c r="I46" s="74"/>
      <c r="J46" s="74"/>
      <c r="K46" s="74"/>
      <c r="L46" s="74"/>
      <c r="M46" s="74"/>
      <c r="N46" s="85">
        <f>SUM(N38:N45)</f>
        <v>10.34772754</v>
      </c>
      <c r="O46" s="80"/>
      <c r="P46" s="84"/>
    </row>
    <row r="47" s="61" customFormat="1" customHeight="1" spans="1:16">
      <c r="A47" s="71">
        <v>42</v>
      </c>
      <c r="B47" s="72" t="s">
        <v>228</v>
      </c>
      <c r="C47" s="73" t="s">
        <v>285</v>
      </c>
      <c r="D47" s="74">
        <v>30.535371</v>
      </c>
      <c r="E47" s="74"/>
      <c r="F47" s="74"/>
      <c r="G47" s="74"/>
      <c r="H47" s="74"/>
      <c r="I47" s="74"/>
      <c r="J47" s="74"/>
      <c r="L47" s="74"/>
      <c r="M47" s="74">
        <v>5</v>
      </c>
      <c r="N47" s="74">
        <f t="shared" ref="N47:N55" si="9">SUM(E47:M47)</f>
        <v>5</v>
      </c>
      <c r="O47" s="84">
        <v>5.9260262</v>
      </c>
      <c r="P47" s="84">
        <f t="shared" ref="P47:P55" si="10">N47-O47</f>
        <v>-0.9260262</v>
      </c>
    </row>
    <row r="48" s="61" customFormat="1" customHeight="1" spans="1:16">
      <c r="A48" s="71">
        <v>43</v>
      </c>
      <c r="B48" s="75"/>
      <c r="C48" s="73" t="s">
        <v>286</v>
      </c>
      <c r="D48" s="74">
        <v>5.228353</v>
      </c>
      <c r="E48" s="74">
        <v>0.3</v>
      </c>
      <c r="F48" s="74">
        <v>0.25</v>
      </c>
      <c r="G48" s="74">
        <v>0.48</v>
      </c>
      <c r="H48" s="74">
        <f>(12283.53*H5)/10000</f>
        <v>0.28252119</v>
      </c>
      <c r="I48" s="74"/>
      <c r="J48" s="74"/>
      <c r="K48" s="74"/>
      <c r="L48" s="74"/>
      <c r="M48" s="74"/>
      <c r="N48" s="74">
        <f t="shared" si="9"/>
        <v>1.31252119</v>
      </c>
      <c r="O48" s="84">
        <v>1.2733275</v>
      </c>
      <c r="P48" s="84">
        <f t="shared" si="10"/>
        <v>0.0391936900000001</v>
      </c>
    </row>
    <row r="49" s="61" customFormat="1" customHeight="1" spans="1:16">
      <c r="A49" s="71">
        <v>44</v>
      </c>
      <c r="B49" s="75"/>
      <c r="C49" s="73" t="s">
        <v>287</v>
      </c>
      <c r="D49" s="74">
        <v>1.293799</v>
      </c>
      <c r="E49" s="74">
        <v>0.3</v>
      </c>
      <c r="F49" s="74">
        <f>(2937.99*F5)/10000</f>
        <v>0.07344975</v>
      </c>
      <c r="G49" s="74"/>
      <c r="H49" s="74"/>
      <c r="I49" s="74"/>
      <c r="J49" s="74"/>
      <c r="K49" s="74"/>
      <c r="L49" s="74"/>
      <c r="M49" s="74"/>
      <c r="N49" s="74">
        <f t="shared" si="9"/>
        <v>0.37344975</v>
      </c>
      <c r="O49" s="84">
        <v>0.3881462</v>
      </c>
      <c r="P49" s="84">
        <f t="shared" si="10"/>
        <v>-0.01469645</v>
      </c>
    </row>
    <row r="50" s="61" customFormat="1" customHeight="1" spans="1:16">
      <c r="A50" s="71">
        <v>45</v>
      </c>
      <c r="B50" s="75"/>
      <c r="C50" s="73" t="s">
        <v>288</v>
      </c>
      <c r="D50" s="74">
        <v>9.716921</v>
      </c>
      <c r="E50" s="74">
        <v>0.3</v>
      </c>
      <c r="F50" s="74">
        <v>0.25</v>
      </c>
      <c r="G50" s="74">
        <v>0.48</v>
      </c>
      <c r="H50" s="74">
        <v>0.46</v>
      </c>
      <c r="I50" s="74">
        <f>(37169.21*I5)/10000</f>
        <v>0.78055341</v>
      </c>
      <c r="J50" s="74"/>
      <c r="K50" s="74"/>
      <c r="L50" s="74"/>
      <c r="M50" s="74"/>
      <c r="N50" s="74">
        <f t="shared" si="9"/>
        <v>2.27055341</v>
      </c>
      <c r="O50" s="84">
        <v>2.23491339</v>
      </c>
      <c r="P50" s="84">
        <f t="shared" si="10"/>
        <v>0.0356400199999998</v>
      </c>
    </row>
    <row r="51" s="61" customFormat="1" customHeight="1" spans="1:16">
      <c r="A51" s="71">
        <v>46</v>
      </c>
      <c r="B51" s="75"/>
      <c r="C51" s="73" t="s">
        <v>289</v>
      </c>
      <c r="D51" s="74">
        <v>18.993772</v>
      </c>
      <c r="E51" s="74">
        <v>0.3</v>
      </c>
      <c r="F51" s="74">
        <v>0.25</v>
      </c>
      <c r="G51" s="74">
        <v>0.48</v>
      </c>
      <c r="H51" s="74">
        <v>0.46</v>
      </c>
      <c r="I51" s="74">
        <v>0.84</v>
      </c>
      <c r="J51" s="74">
        <v>1</v>
      </c>
      <c r="K51" s="74">
        <f>(39937.72*K5)/10000</f>
        <v>0.75881668</v>
      </c>
      <c r="L51" s="74"/>
      <c r="M51" s="74"/>
      <c r="N51" s="74">
        <f t="shared" si="9"/>
        <v>4.08881668</v>
      </c>
      <c r="O51" s="84">
        <v>3.98869732</v>
      </c>
      <c r="P51" s="84">
        <f t="shared" si="10"/>
        <v>0.10011936</v>
      </c>
    </row>
    <row r="52" s="61" customFormat="1" customHeight="1" spans="1:16">
      <c r="A52" s="71">
        <v>47</v>
      </c>
      <c r="B52" s="75"/>
      <c r="C52" s="73" t="s">
        <v>290</v>
      </c>
      <c r="D52" s="74">
        <v>15.882106</v>
      </c>
      <c r="E52" s="74">
        <v>0.3</v>
      </c>
      <c r="F52" s="74">
        <v>0.25</v>
      </c>
      <c r="G52" s="74">
        <v>0.48</v>
      </c>
      <c r="H52" s="74">
        <v>0.46</v>
      </c>
      <c r="I52" s="74">
        <v>0.84</v>
      </c>
      <c r="J52" s="74">
        <v>1</v>
      </c>
      <c r="K52" s="74">
        <f>(8821.06*K5)/10000</f>
        <v>0.16760014</v>
      </c>
      <c r="L52" s="74"/>
      <c r="M52" s="74"/>
      <c r="N52" s="74">
        <f t="shared" si="9"/>
        <v>3.49760014</v>
      </c>
      <c r="O52" s="84">
        <v>3.3352846</v>
      </c>
      <c r="P52" s="84">
        <f t="shared" si="10"/>
        <v>0.16231554</v>
      </c>
    </row>
    <row r="53" s="61" customFormat="1" customHeight="1" spans="1:16">
      <c r="A53" s="71">
        <v>48</v>
      </c>
      <c r="B53" s="75"/>
      <c r="C53" s="73" t="s">
        <v>291</v>
      </c>
      <c r="D53" s="74">
        <v>6.184623</v>
      </c>
      <c r="E53" s="74">
        <v>0.3</v>
      </c>
      <c r="F53" s="74">
        <v>0.25</v>
      </c>
      <c r="G53" s="74">
        <v>0.48</v>
      </c>
      <c r="H53" s="74">
        <v>0.46</v>
      </c>
      <c r="I53" s="74">
        <f>(1846.23)/10000</f>
        <v>0.184623</v>
      </c>
      <c r="J53" s="74"/>
      <c r="K53" s="74"/>
      <c r="L53" s="74"/>
      <c r="M53" s="74"/>
      <c r="N53" s="74">
        <f t="shared" si="9"/>
        <v>1.674623</v>
      </c>
      <c r="O53" s="84">
        <v>1.48430264</v>
      </c>
      <c r="P53" s="84">
        <f t="shared" si="10"/>
        <v>0.19032036</v>
      </c>
    </row>
    <row r="54" s="61" customFormat="1" customHeight="1" spans="1:16">
      <c r="A54" s="71">
        <v>49</v>
      </c>
      <c r="B54" s="75"/>
      <c r="C54" s="73" t="s">
        <v>292</v>
      </c>
      <c r="D54" s="74">
        <v>1.679545</v>
      </c>
      <c r="E54" s="74">
        <v>0.3</v>
      </c>
      <c r="F54" s="74">
        <f>(6795.45*F5)/10000</f>
        <v>0.16988625</v>
      </c>
      <c r="G54" s="74"/>
      <c r="H54" s="74"/>
      <c r="I54" s="74"/>
      <c r="J54" s="74"/>
      <c r="K54" s="74"/>
      <c r="L54" s="74"/>
      <c r="M54" s="74"/>
      <c r="N54" s="74">
        <f t="shared" si="9"/>
        <v>0.46988625</v>
      </c>
      <c r="O54" s="84">
        <v>0.5038435</v>
      </c>
      <c r="P54" s="84">
        <f t="shared" si="10"/>
        <v>-0.03395725</v>
      </c>
    </row>
    <row r="55" s="61" customFormat="1" customHeight="1" spans="1:16">
      <c r="A55" s="71">
        <v>50</v>
      </c>
      <c r="B55" s="77"/>
      <c r="C55" s="73" t="s">
        <v>293</v>
      </c>
      <c r="D55" s="74">
        <v>0.720225</v>
      </c>
      <c r="E55" s="74">
        <f>D55*E5</f>
        <v>0.2160675</v>
      </c>
      <c r="F55" s="74"/>
      <c r="G55" s="74"/>
      <c r="H55" s="74"/>
      <c r="I55" s="74"/>
      <c r="J55" s="74"/>
      <c r="K55" s="74"/>
      <c r="L55" s="74"/>
      <c r="M55" s="74"/>
      <c r="N55" s="74">
        <f t="shared" si="9"/>
        <v>0.2160675</v>
      </c>
      <c r="O55" s="84">
        <v>0.2160235</v>
      </c>
      <c r="P55" s="84">
        <f t="shared" si="10"/>
        <v>4.39999999999885e-5</v>
      </c>
    </row>
    <row r="56" s="61" customFormat="1" customHeight="1" spans="1:16">
      <c r="A56" s="71">
        <v>51</v>
      </c>
      <c r="B56" s="75"/>
      <c r="C56" s="78"/>
      <c r="D56" s="80"/>
      <c r="E56" s="74"/>
      <c r="F56" s="74"/>
      <c r="G56" s="74"/>
      <c r="H56" s="74"/>
      <c r="I56" s="74"/>
      <c r="J56" s="74"/>
      <c r="L56" s="74"/>
      <c r="M56" s="74"/>
      <c r="N56" s="85">
        <f>SUM(N47:N55)</f>
        <v>18.90351792</v>
      </c>
      <c r="O56" s="80"/>
      <c r="P56" s="84"/>
    </row>
    <row r="57" s="61" customFormat="1" customHeight="1" spans="1:16">
      <c r="A57" s="71">
        <v>52</v>
      </c>
      <c r="B57" s="72" t="s">
        <v>142</v>
      </c>
      <c r="C57" s="73" t="s">
        <v>294</v>
      </c>
      <c r="D57" s="74">
        <v>13.200074</v>
      </c>
      <c r="E57" s="74">
        <v>0.3</v>
      </c>
      <c r="F57" s="74">
        <v>0.25</v>
      </c>
      <c r="G57" s="74">
        <v>0.48</v>
      </c>
      <c r="H57" s="74">
        <v>0.46</v>
      </c>
      <c r="I57" s="74">
        <v>0.84</v>
      </c>
      <c r="J57" s="74">
        <f>(32000.74*J5)/10000</f>
        <v>0.6400148</v>
      </c>
      <c r="K57" s="74"/>
      <c r="L57" s="74"/>
      <c r="M57" s="74"/>
      <c r="N57" s="74">
        <f t="shared" ref="N57:N73" si="11">SUM(E57:M57)</f>
        <v>2.9700148</v>
      </c>
      <c r="O57" s="84">
        <v>2.7719809</v>
      </c>
      <c r="P57" s="84">
        <f t="shared" ref="P57:P73" si="12">N57-O57</f>
        <v>0.1980339</v>
      </c>
    </row>
    <row r="58" s="61" customFormat="1" customHeight="1" spans="1:16">
      <c r="A58" s="71">
        <v>53</v>
      </c>
      <c r="B58" s="75"/>
      <c r="C58" s="73" t="s">
        <v>295</v>
      </c>
      <c r="D58" s="74">
        <v>10.47146</v>
      </c>
      <c r="E58" s="74">
        <v>0.3</v>
      </c>
      <c r="F58" s="74">
        <v>0.25</v>
      </c>
      <c r="G58" s="74">
        <v>0.48</v>
      </c>
      <c r="H58" s="74">
        <v>0.46</v>
      </c>
      <c r="I58" s="74">
        <v>0.84</v>
      </c>
      <c r="J58" s="74">
        <f>(4714.6*J5)/10000</f>
        <v>0.094292</v>
      </c>
      <c r="K58" s="74"/>
      <c r="L58" s="74"/>
      <c r="M58" s="74"/>
      <c r="N58" s="74">
        <f t="shared" si="11"/>
        <v>2.424292</v>
      </c>
      <c r="O58" s="84">
        <v>2.40841247</v>
      </c>
      <c r="P58" s="84">
        <f t="shared" si="12"/>
        <v>0.0158795299999999</v>
      </c>
    </row>
    <row r="59" s="61" customFormat="1" customHeight="1" spans="1:16">
      <c r="A59" s="71">
        <v>54</v>
      </c>
      <c r="B59" s="75"/>
      <c r="C59" s="73" t="s">
        <v>296</v>
      </c>
      <c r="D59" s="74">
        <v>19.264138</v>
      </c>
      <c r="E59" s="74">
        <v>0.3</v>
      </c>
      <c r="F59" s="74">
        <v>0.25</v>
      </c>
      <c r="G59" s="74">
        <v>0.48</v>
      </c>
      <c r="H59" s="74">
        <v>0.46</v>
      </c>
      <c r="I59" s="74">
        <v>0.84</v>
      </c>
      <c r="J59" s="74">
        <v>1</v>
      </c>
      <c r="K59" s="74">
        <f>(42641.38*K5)/10000</f>
        <v>0.81018622</v>
      </c>
      <c r="L59" s="74"/>
      <c r="M59" s="74"/>
      <c r="N59" s="74">
        <f t="shared" si="11"/>
        <v>4.14018622</v>
      </c>
      <c r="O59" s="84">
        <v>3.9202276</v>
      </c>
      <c r="P59" s="84">
        <f t="shared" si="12"/>
        <v>0.219958620000001</v>
      </c>
    </row>
    <row r="60" s="61" customFormat="1" customHeight="1" spans="1:16">
      <c r="A60" s="71">
        <v>55</v>
      </c>
      <c r="B60" s="75"/>
      <c r="C60" s="73" t="s">
        <v>297</v>
      </c>
      <c r="D60" s="74">
        <v>40.928206</v>
      </c>
      <c r="E60" s="74"/>
      <c r="F60" s="74"/>
      <c r="G60" s="74"/>
      <c r="H60" s="74"/>
      <c r="I60" s="74"/>
      <c r="J60" s="74"/>
      <c r="K60" s="74"/>
      <c r="L60" s="74"/>
      <c r="M60" s="74">
        <v>5</v>
      </c>
      <c r="N60" s="74">
        <f t="shared" si="11"/>
        <v>5</v>
      </c>
      <c r="O60" s="84">
        <v>7.5425246</v>
      </c>
      <c r="P60" s="84">
        <f t="shared" si="12"/>
        <v>-2.5425246</v>
      </c>
    </row>
    <row r="61" s="61" customFormat="1" customHeight="1" spans="1:16">
      <c r="A61" s="71">
        <v>56</v>
      </c>
      <c r="B61" s="75"/>
      <c r="C61" s="73" t="s">
        <v>298</v>
      </c>
      <c r="D61" s="74">
        <v>33.096237</v>
      </c>
      <c r="E61" s="74"/>
      <c r="F61" s="74"/>
      <c r="G61" s="74"/>
      <c r="H61" s="74"/>
      <c r="I61" s="74"/>
      <c r="J61" s="74"/>
      <c r="K61" s="74"/>
      <c r="L61" s="74"/>
      <c r="M61" s="74">
        <v>5</v>
      </c>
      <c r="N61" s="74">
        <f t="shared" si="11"/>
        <v>5</v>
      </c>
      <c r="O61" s="84">
        <v>6.42219691</v>
      </c>
      <c r="P61" s="84">
        <f t="shared" si="12"/>
        <v>-1.42219691</v>
      </c>
    </row>
    <row r="62" s="61" customFormat="1" customHeight="1" spans="1:16">
      <c r="A62" s="71">
        <v>57</v>
      </c>
      <c r="B62" s="75"/>
      <c r="C62" s="73" t="s">
        <v>299</v>
      </c>
      <c r="D62" s="74">
        <v>7.117253</v>
      </c>
      <c r="E62" s="74">
        <v>0.3</v>
      </c>
      <c r="F62" s="74">
        <v>0.25</v>
      </c>
      <c r="G62" s="74">
        <v>0.48</v>
      </c>
      <c r="H62" s="74">
        <v>0.46</v>
      </c>
      <c r="I62" s="74">
        <f>(11172.53*I5)/10000</f>
        <v>0.23462313</v>
      </c>
      <c r="J62" s="74"/>
      <c r="K62" s="74"/>
      <c r="L62" s="74"/>
      <c r="M62" s="74"/>
      <c r="N62" s="74">
        <f t="shared" si="11"/>
        <v>1.72462313</v>
      </c>
      <c r="O62" s="84">
        <v>1.66668203</v>
      </c>
      <c r="P62" s="84">
        <f t="shared" si="12"/>
        <v>0.0579410999999999</v>
      </c>
    </row>
    <row r="63" s="61" customFormat="1" customHeight="1" spans="1:16">
      <c r="A63" s="71">
        <v>58</v>
      </c>
      <c r="B63" s="75"/>
      <c r="C63" s="73" t="s">
        <v>300</v>
      </c>
      <c r="D63" s="74">
        <v>6.212455</v>
      </c>
      <c r="E63" s="74">
        <v>0.3</v>
      </c>
      <c r="F63" s="74">
        <v>0.25</v>
      </c>
      <c r="G63" s="74">
        <v>0.48</v>
      </c>
      <c r="H63" s="74">
        <v>0.46</v>
      </c>
      <c r="I63" s="74">
        <f>(2124.55*I5)/10000</f>
        <v>0.04461555</v>
      </c>
      <c r="J63" s="74"/>
      <c r="K63" s="74"/>
      <c r="L63" s="74"/>
      <c r="M63" s="74"/>
      <c r="N63" s="74">
        <f t="shared" si="11"/>
        <v>1.53461555</v>
      </c>
      <c r="O63" s="84">
        <v>1.49095704</v>
      </c>
      <c r="P63" s="84">
        <f t="shared" si="12"/>
        <v>0.04365851</v>
      </c>
    </row>
    <row r="64" s="61" customFormat="1" customHeight="1" spans="1:16">
      <c r="A64" s="71">
        <v>59</v>
      </c>
      <c r="B64" s="75"/>
      <c r="C64" s="73" t="s">
        <v>301</v>
      </c>
      <c r="D64" s="74">
        <v>1.00887</v>
      </c>
      <c r="E64" s="74">
        <v>0.3</v>
      </c>
      <c r="F64" s="76">
        <f>(88.7*F5)/10000</f>
        <v>0.0022175</v>
      </c>
      <c r="G64" s="74"/>
      <c r="H64" s="74"/>
      <c r="I64" s="74"/>
      <c r="J64" s="74"/>
      <c r="K64" s="74"/>
      <c r="L64" s="74"/>
      <c r="M64" s="74"/>
      <c r="N64" s="74">
        <f t="shared" si="11"/>
        <v>0.3022175</v>
      </c>
      <c r="O64" s="84">
        <v>0.2522175</v>
      </c>
      <c r="P64" s="84">
        <f t="shared" si="12"/>
        <v>0.0499999999999999</v>
      </c>
    </row>
    <row r="65" s="61" customFormat="1" customHeight="1" spans="1:16">
      <c r="A65" s="71">
        <v>60</v>
      </c>
      <c r="B65" s="75"/>
      <c r="C65" s="73" t="s">
        <v>143</v>
      </c>
      <c r="D65" s="74">
        <v>0.27802</v>
      </c>
      <c r="E65" s="74">
        <f>D65*E5</f>
        <v>0.083406</v>
      </c>
      <c r="F65" s="74"/>
      <c r="G65" s="74"/>
      <c r="H65" s="74"/>
      <c r="I65" s="74"/>
      <c r="J65" s="74"/>
      <c r="K65" s="74"/>
      <c r="L65" s="74"/>
      <c r="M65" s="74"/>
      <c r="N65" s="74">
        <f t="shared" si="11"/>
        <v>0.083406</v>
      </c>
      <c r="O65" s="84">
        <v>0.0834</v>
      </c>
      <c r="P65" s="84">
        <f t="shared" si="12"/>
        <v>5.99999999999212e-6</v>
      </c>
    </row>
    <row r="66" s="61" customFormat="1" customHeight="1" spans="1:16">
      <c r="A66" s="71">
        <v>61</v>
      </c>
      <c r="B66" s="75"/>
      <c r="C66" s="73" t="s">
        <v>302</v>
      </c>
      <c r="D66" s="74">
        <v>16.501872</v>
      </c>
      <c r="E66" s="74">
        <v>0.3</v>
      </c>
      <c r="F66" s="74">
        <v>0.25</v>
      </c>
      <c r="G66" s="74">
        <v>0.48</v>
      </c>
      <c r="H66" s="74">
        <v>0.46</v>
      </c>
      <c r="I66" s="74">
        <v>0.84</v>
      </c>
      <c r="J66" s="74">
        <v>1</v>
      </c>
      <c r="K66" s="74">
        <f>(15018.72*K5)/10000</f>
        <v>0.28535568</v>
      </c>
      <c r="L66" s="74"/>
      <c r="M66" s="74"/>
      <c r="N66" s="74">
        <f t="shared" si="11"/>
        <v>3.61535568</v>
      </c>
      <c r="O66" s="84">
        <v>3.46539272</v>
      </c>
      <c r="P66" s="84">
        <f t="shared" si="12"/>
        <v>0.14996296</v>
      </c>
    </row>
    <row r="67" s="61" customFormat="1" customHeight="1" spans="1:16">
      <c r="A67" s="71">
        <v>62</v>
      </c>
      <c r="B67" s="75"/>
      <c r="C67" s="73" t="s">
        <v>303</v>
      </c>
      <c r="D67" s="74">
        <v>28.987365</v>
      </c>
      <c r="E67" s="74">
        <v>0.3</v>
      </c>
      <c r="F67" s="74">
        <v>0.25</v>
      </c>
      <c r="G67" s="74">
        <v>0.48</v>
      </c>
      <c r="H67" s="74">
        <v>0.46</v>
      </c>
      <c r="I67" s="74">
        <v>0.84</v>
      </c>
      <c r="J67" s="74">
        <v>1</v>
      </c>
      <c r="K67" s="74">
        <v>0.95</v>
      </c>
      <c r="L67" s="74">
        <f>(89873.65*L5)/10000</f>
        <v>1.6177257</v>
      </c>
      <c r="M67" s="74"/>
      <c r="N67" s="74">
        <f t="shared" si="11"/>
        <v>5.8977257</v>
      </c>
      <c r="O67" s="84">
        <v>5.631448</v>
      </c>
      <c r="P67" s="84">
        <f t="shared" si="12"/>
        <v>0.2662777</v>
      </c>
    </row>
    <row r="68" s="61" customFormat="1" customHeight="1" spans="1:16">
      <c r="A68" s="71">
        <v>63</v>
      </c>
      <c r="B68" s="75"/>
      <c r="C68" s="73" t="s">
        <v>304</v>
      </c>
      <c r="D68" s="74">
        <v>0.96067</v>
      </c>
      <c r="E68" s="74">
        <f>D68*E5</f>
        <v>0.288201</v>
      </c>
      <c r="F68" s="74"/>
      <c r="G68" s="74"/>
      <c r="H68" s="74"/>
      <c r="I68" s="74"/>
      <c r="J68" s="74"/>
      <c r="K68" s="74"/>
      <c r="L68" s="74"/>
      <c r="M68" s="74"/>
      <c r="N68" s="74">
        <f t="shared" si="11"/>
        <v>0.288201</v>
      </c>
      <c r="O68" s="84">
        <v>0.288202</v>
      </c>
      <c r="P68" s="84">
        <f t="shared" si="12"/>
        <v>-1.00000000002876e-6</v>
      </c>
    </row>
    <row r="69" s="61" customFormat="1" customHeight="1" spans="1:16">
      <c r="A69" s="71">
        <v>64</v>
      </c>
      <c r="B69" s="75"/>
      <c r="C69" s="73" t="s">
        <v>305</v>
      </c>
      <c r="D69" s="74">
        <v>33.966316</v>
      </c>
      <c r="E69" s="74"/>
      <c r="F69" s="74"/>
      <c r="G69" s="74"/>
      <c r="H69" s="74"/>
      <c r="I69" s="74"/>
      <c r="J69" s="74"/>
      <c r="K69" s="74"/>
      <c r="L69" s="74"/>
      <c r="M69" s="74">
        <v>5</v>
      </c>
      <c r="N69" s="74">
        <f t="shared" si="11"/>
        <v>5</v>
      </c>
      <c r="O69" s="84">
        <v>6.45358937</v>
      </c>
      <c r="P69" s="84">
        <f t="shared" si="12"/>
        <v>-1.45358937</v>
      </c>
    </row>
    <row r="70" s="61" customFormat="1" customHeight="1" spans="1:16">
      <c r="A70" s="71">
        <v>65</v>
      </c>
      <c r="B70" s="75"/>
      <c r="C70" s="73" t="s">
        <v>306</v>
      </c>
      <c r="D70" s="74">
        <v>8.793936</v>
      </c>
      <c r="E70" s="74">
        <v>0.3</v>
      </c>
      <c r="F70" s="74">
        <v>0.25</v>
      </c>
      <c r="G70" s="74">
        <v>0.48</v>
      </c>
      <c r="H70" s="74">
        <v>0.46</v>
      </c>
      <c r="I70" s="74">
        <f>(27939.36*I5)/10000</f>
        <v>0.58672656</v>
      </c>
      <c r="J70" s="74"/>
      <c r="K70" s="74"/>
      <c r="L70" s="74"/>
      <c r="M70" s="74"/>
      <c r="N70" s="74">
        <f t="shared" si="11"/>
        <v>2.07672656</v>
      </c>
      <c r="O70" s="84">
        <v>2.02258608</v>
      </c>
      <c r="P70" s="84">
        <f t="shared" si="12"/>
        <v>0.05414048</v>
      </c>
    </row>
    <row r="71" s="61" customFormat="1" customHeight="1" spans="1:16">
      <c r="A71" s="71">
        <v>66</v>
      </c>
      <c r="B71" s="75"/>
      <c r="C71" s="73" t="s">
        <v>307</v>
      </c>
      <c r="D71" s="74">
        <v>11.384871</v>
      </c>
      <c r="E71" s="74">
        <v>0.3</v>
      </c>
      <c r="F71" s="74">
        <v>0.25</v>
      </c>
      <c r="G71" s="74">
        <v>0.48</v>
      </c>
      <c r="H71" s="74">
        <v>0.46</v>
      </c>
      <c r="I71" s="74">
        <v>0.84</v>
      </c>
      <c r="J71" s="74">
        <f>(13848.71*J5)/10000</f>
        <v>0.2769742</v>
      </c>
      <c r="K71" s="74"/>
      <c r="L71" s="74"/>
      <c r="M71" s="74"/>
      <c r="N71" s="74">
        <f t="shared" si="11"/>
        <v>2.6069742</v>
      </c>
      <c r="O71" s="84">
        <v>2.61853354</v>
      </c>
      <c r="P71" s="84">
        <f t="shared" si="12"/>
        <v>-0.0115593399999998</v>
      </c>
    </row>
    <row r="72" s="61" customFormat="1" customHeight="1" spans="1:16">
      <c r="A72" s="71">
        <v>67</v>
      </c>
      <c r="B72" s="75"/>
      <c r="C72" s="73" t="s">
        <v>308</v>
      </c>
      <c r="D72" s="74">
        <v>11.236163</v>
      </c>
      <c r="E72" s="74">
        <v>0.3</v>
      </c>
      <c r="F72" s="74">
        <v>0.25</v>
      </c>
      <c r="G72" s="74">
        <v>0.48</v>
      </c>
      <c r="H72" s="74">
        <v>0.46</v>
      </c>
      <c r="I72" s="74">
        <v>0.84</v>
      </c>
      <c r="J72" s="74">
        <f>(12361.63*J5)/10000</f>
        <v>0.2472326</v>
      </c>
      <c r="K72" s="74"/>
      <c r="L72" s="74"/>
      <c r="M72" s="74"/>
      <c r="N72" s="74">
        <f t="shared" si="11"/>
        <v>2.5772326</v>
      </c>
      <c r="O72" s="84">
        <v>2.45134406</v>
      </c>
      <c r="P72" s="84">
        <f t="shared" si="12"/>
        <v>0.12588854</v>
      </c>
    </row>
    <row r="73" s="61" customFormat="1" customHeight="1" spans="1:16">
      <c r="A73" s="71">
        <v>68</v>
      </c>
      <c r="B73" s="77"/>
      <c r="C73" s="73" t="s">
        <v>144</v>
      </c>
      <c r="D73" s="74">
        <v>0</v>
      </c>
      <c r="E73" s="74"/>
      <c r="F73" s="74"/>
      <c r="G73" s="74"/>
      <c r="H73" s="74"/>
      <c r="I73" s="74"/>
      <c r="J73" s="74"/>
      <c r="K73" s="74"/>
      <c r="L73" s="74"/>
      <c r="M73" s="74"/>
      <c r="N73" s="74">
        <f t="shared" si="11"/>
        <v>0</v>
      </c>
      <c r="O73" s="80">
        <v>0</v>
      </c>
      <c r="P73" s="84">
        <f t="shared" si="12"/>
        <v>0</v>
      </c>
    </row>
    <row r="74" s="61" customFormat="1" customHeight="1" spans="1:16">
      <c r="A74" s="71">
        <v>69</v>
      </c>
      <c r="B74" s="75"/>
      <c r="C74" s="78"/>
      <c r="D74" s="74"/>
      <c r="E74" s="74"/>
      <c r="F74" s="74"/>
      <c r="G74" s="74"/>
      <c r="H74" s="74"/>
      <c r="I74" s="74"/>
      <c r="J74" s="74"/>
      <c r="L74" s="74"/>
      <c r="M74" s="74"/>
      <c r="N74" s="85">
        <f>SUM(N57:N73)</f>
        <v>45.24157094</v>
      </c>
      <c r="O74" s="80"/>
      <c r="P74" s="84"/>
    </row>
    <row r="75" s="61" customFormat="1" customHeight="1" spans="1:16">
      <c r="A75" s="71">
        <v>70</v>
      </c>
      <c r="B75" s="72" t="s">
        <v>227</v>
      </c>
      <c r="C75" s="73" t="s">
        <v>309</v>
      </c>
      <c r="D75" s="74">
        <v>3.303666</v>
      </c>
      <c r="E75" s="74">
        <v>0.3</v>
      </c>
      <c r="F75" s="74">
        <v>0.25</v>
      </c>
      <c r="G75" s="74">
        <f>(13036.66*G5)/10000</f>
        <v>0.31287984</v>
      </c>
      <c r="H75" s="74"/>
      <c r="I75" s="74"/>
      <c r="J75" s="74"/>
      <c r="K75" s="74"/>
      <c r="L75" s="74"/>
      <c r="M75" s="74"/>
      <c r="N75" s="74">
        <f t="shared" ref="N75:N87" si="13">SUM(E75:M75)</f>
        <v>0.86287984</v>
      </c>
      <c r="O75" s="84">
        <v>0.82595375</v>
      </c>
      <c r="P75" s="84">
        <f t="shared" ref="P75:P87" si="14">N75-O75</f>
        <v>0.0369260899999999</v>
      </c>
    </row>
    <row r="76" s="61" customFormat="1" customHeight="1" spans="1:16">
      <c r="A76" s="71">
        <v>71</v>
      </c>
      <c r="B76" s="75"/>
      <c r="C76" s="73" t="s">
        <v>310</v>
      </c>
      <c r="D76" s="74">
        <v>8.530929</v>
      </c>
      <c r="E76" s="74">
        <v>0.3</v>
      </c>
      <c r="F76" s="74">
        <v>0.25</v>
      </c>
      <c r="G76" s="74">
        <v>0.48</v>
      </c>
      <c r="H76" s="74">
        <v>0.46</v>
      </c>
      <c r="I76" s="74">
        <f>(25309.29*I5)/10000</f>
        <v>0.53149509</v>
      </c>
      <c r="J76" s="74"/>
      <c r="K76" s="74"/>
      <c r="L76" s="74"/>
      <c r="M76" s="74"/>
      <c r="N76" s="74">
        <f t="shared" si="13"/>
        <v>2.02149509</v>
      </c>
      <c r="O76" s="84">
        <v>1.96215889</v>
      </c>
      <c r="P76" s="84">
        <f t="shared" si="14"/>
        <v>0.0593362000000002</v>
      </c>
    </row>
    <row r="77" s="61" customFormat="1" customHeight="1" spans="1:16">
      <c r="A77" s="71">
        <v>72</v>
      </c>
      <c r="B77" s="75"/>
      <c r="C77" s="73" t="s">
        <v>311</v>
      </c>
      <c r="D77" s="74">
        <v>1.661344</v>
      </c>
      <c r="E77" s="74">
        <v>0.3</v>
      </c>
      <c r="F77" s="74">
        <f>(6613.44*F5)/10000</f>
        <v>0.165336</v>
      </c>
      <c r="G77" s="74"/>
      <c r="H77" s="74"/>
      <c r="I77" s="74"/>
      <c r="J77" s="74"/>
      <c r="K77" s="74"/>
      <c r="L77" s="74"/>
      <c r="M77" s="74"/>
      <c r="N77" s="74">
        <f t="shared" si="13"/>
        <v>0.465336</v>
      </c>
      <c r="O77" s="84">
        <v>0.4984001</v>
      </c>
      <c r="P77" s="84">
        <f t="shared" si="14"/>
        <v>-0.0330641</v>
      </c>
    </row>
    <row r="78" s="61" customFormat="1" customHeight="1" spans="1:16">
      <c r="A78" s="71">
        <v>73</v>
      </c>
      <c r="B78" s="75"/>
      <c r="C78" s="73" t="s">
        <v>312</v>
      </c>
      <c r="D78" s="74">
        <v>0.907084</v>
      </c>
      <c r="E78" s="74">
        <f>D78*E5</f>
        <v>0.2721252</v>
      </c>
      <c r="F78" s="74"/>
      <c r="G78" s="74"/>
      <c r="H78" s="74"/>
      <c r="I78" s="74"/>
      <c r="J78" s="74"/>
      <c r="K78" s="74"/>
      <c r="L78" s="74"/>
      <c r="M78" s="74"/>
      <c r="N78" s="74">
        <f t="shared" si="13"/>
        <v>0.2721252</v>
      </c>
      <c r="O78" s="84">
        <v>0.272118</v>
      </c>
      <c r="P78" s="84">
        <f t="shared" si="14"/>
        <v>7.20000000004051e-6</v>
      </c>
    </row>
    <row r="79" s="61" customFormat="1" customHeight="1" spans="1:16">
      <c r="A79" s="71">
        <v>74</v>
      </c>
      <c r="B79" s="75"/>
      <c r="C79" s="73" t="s">
        <v>313</v>
      </c>
      <c r="D79" s="74">
        <v>0.448837</v>
      </c>
      <c r="E79" s="74">
        <f>D79*E6</f>
        <v>0.1346511</v>
      </c>
      <c r="F79" s="74"/>
      <c r="G79" s="74"/>
      <c r="H79" s="74"/>
      <c r="I79" s="74"/>
      <c r="J79" s="74"/>
      <c r="K79" s="74"/>
      <c r="L79" s="74"/>
      <c r="M79" s="74"/>
      <c r="N79" s="74">
        <f t="shared" si="13"/>
        <v>0.1346511</v>
      </c>
      <c r="O79" s="84">
        <v>0.1346534</v>
      </c>
      <c r="P79" s="84">
        <f t="shared" si="14"/>
        <v>-2.30000000001063e-6</v>
      </c>
    </row>
    <row r="80" s="61" customFormat="1" customHeight="1" spans="1:16">
      <c r="A80" s="71">
        <v>75</v>
      </c>
      <c r="B80" s="75"/>
      <c r="C80" s="73" t="s">
        <v>314</v>
      </c>
      <c r="D80" s="74">
        <v>20.925762</v>
      </c>
      <c r="E80" s="74">
        <v>0.3</v>
      </c>
      <c r="F80" s="74">
        <v>0.25</v>
      </c>
      <c r="G80" s="74">
        <v>0.48</v>
      </c>
      <c r="H80" s="74">
        <v>0.46</v>
      </c>
      <c r="I80" s="74">
        <v>0.84</v>
      </c>
      <c r="J80" s="74">
        <v>1</v>
      </c>
      <c r="K80" s="74">
        <v>0.95</v>
      </c>
      <c r="L80" s="74">
        <f>(9257.62*L5)/10000</f>
        <v>0.16663716</v>
      </c>
      <c r="M80" s="74"/>
      <c r="N80" s="74">
        <f t="shared" si="13"/>
        <v>4.44663716</v>
      </c>
      <c r="O80" s="84">
        <v>4.2689916</v>
      </c>
      <c r="P80" s="84">
        <f t="shared" si="14"/>
        <v>0.17764556</v>
      </c>
    </row>
    <row r="81" s="61" customFormat="1" customHeight="1" spans="1:16">
      <c r="A81" s="71">
        <v>76</v>
      </c>
      <c r="B81" s="75"/>
      <c r="C81" s="73" t="s">
        <v>315</v>
      </c>
      <c r="D81" s="74">
        <v>3.084406</v>
      </c>
      <c r="E81" s="74">
        <v>0.3</v>
      </c>
      <c r="F81" s="74">
        <v>0.25</v>
      </c>
      <c r="G81" s="74">
        <f>(10844.06*G5)/10000</f>
        <v>0.26025744</v>
      </c>
      <c r="H81" s="74"/>
      <c r="I81" s="74"/>
      <c r="J81" s="74"/>
      <c r="K81" s="74"/>
      <c r="L81" s="74"/>
      <c r="M81" s="74"/>
      <c r="N81" s="74">
        <f t="shared" si="13"/>
        <v>0.81025744</v>
      </c>
      <c r="O81" s="84">
        <v>0.7943593</v>
      </c>
      <c r="P81" s="84">
        <f t="shared" si="14"/>
        <v>0.01589814</v>
      </c>
    </row>
    <row r="82" s="61" customFormat="1" customHeight="1" spans="1:16">
      <c r="A82" s="71">
        <v>77</v>
      </c>
      <c r="B82" s="75"/>
      <c r="C82" s="73" t="s">
        <v>316</v>
      </c>
      <c r="D82" s="74">
        <v>2.423953</v>
      </c>
      <c r="E82" s="74">
        <v>0.3</v>
      </c>
      <c r="F82" s="74">
        <v>0.25</v>
      </c>
      <c r="G82" s="74">
        <f>(4239.53*G5)/10000</f>
        <v>0.10174872</v>
      </c>
      <c r="H82" s="74"/>
      <c r="I82" s="74"/>
      <c r="J82" s="74"/>
      <c r="K82" s="74"/>
      <c r="L82" s="74"/>
      <c r="M82" s="74"/>
      <c r="N82" s="74">
        <f t="shared" si="13"/>
        <v>0.65174872</v>
      </c>
      <c r="O82" s="84">
        <v>0.64403125</v>
      </c>
      <c r="P82" s="84">
        <f t="shared" si="14"/>
        <v>0.00771747</v>
      </c>
    </row>
    <row r="83" s="61" customFormat="1" customHeight="1" spans="1:16">
      <c r="A83" s="71">
        <v>78</v>
      </c>
      <c r="B83" s="75"/>
      <c r="C83" s="73" t="s">
        <v>317</v>
      </c>
      <c r="D83" s="74">
        <v>0.475519</v>
      </c>
      <c r="E83" s="74">
        <f>D83*E5</f>
        <v>0.1426557</v>
      </c>
      <c r="F83" s="74"/>
      <c r="G83" s="74"/>
      <c r="H83" s="74"/>
      <c r="I83" s="74"/>
      <c r="J83" s="74"/>
      <c r="K83" s="74"/>
      <c r="L83" s="74"/>
      <c r="M83" s="74"/>
      <c r="N83" s="74">
        <f t="shared" si="13"/>
        <v>0.1426557</v>
      </c>
      <c r="O83" s="84">
        <v>0.142615</v>
      </c>
      <c r="P83" s="84">
        <f t="shared" si="14"/>
        <v>4.06999999999769e-5</v>
      </c>
    </row>
    <row r="84" s="61" customFormat="1" customHeight="1" spans="1:16">
      <c r="A84" s="71">
        <v>79</v>
      </c>
      <c r="B84" s="75"/>
      <c r="C84" s="73" t="s">
        <v>318</v>
      </c>
      <c r="D84" s="74">
        <v>0.475425</v>
      </c>
      <c r="E84" s="74">
        <f>D84*E6</f>
        <v>0.1426275</v>
      </c>
      <c r="F84" s="74"/>
      <c r="G84" s="74"/>
      <c r="H84" s="74"/>
      <c r="I84" s="74"/>
      <c r="J84" s="74"/>
      <c r="K84" s="74"/>
      <c r="L84" s="74"/>
      <c r="M84" s="74"/>
      <c r="N84" s="74">
        <f t="shared" si="13"/>
        <v>0.1426275</v>
      </c>
      <c r="O84" s="84">
        <v>0.1426095</v>
      </c>
      <c r="P84" s="84">
        <f t="shared" si="14"/>
        <v>1.79999999999902e-5</v>
      </c>
    </row>
    <row r="85" s="61" customFormat="1" customHeight="1" spans="1:16">
      <c r="A85" s="71">
        <v>80</v>
      </c>
      <c r="B85" s="75"/>
      <c r="C85" s="73" t="s">
        <v>319</v>
      </c>
      <c r="D85" s="74">
        <v>2.3632</v>
      </c>
      <c r="E85" s="74">
        <v>0.3</v>
      </c>
      <c r="F85" s="74">
        <v>0.25</v>
      </c>
      <c r="G85" s="74">
        <f>(3632*G5)/10000</f>
        <v>0.087168</v>
      </c>
      <c r="H85" s="74"/>
      <c r="I85" s="74"/>
      <c r="J85" s="74"/>
      <c r="K85" s="74"/>
      <c r="L85" s="74"/>
      <c r="M85" s="74"/>
      <c r="N85" s="74">
        <f t="shared" si="13"/>
        <v>0.637168</v>
      </c>
      <c r="O85" s="84">
        <v>0.6193</v>
      </c>
      <c r="P85" s="84">
        <f t="shared" si="14"/>
        <v>0.0178680000000001</v>
      </c>
    </row>
    <row r="86" s="61" customFormat="1" customHeight="1" spans="1:16">
      <c r="A86" s="71">
        <v>81</v>
      </c>
      <c r="B86" s="75"/>
      <c r="C86" s="73" t="s">
        <v>320</v>
      </c>
      <c r="D86" s="74">
        <v>0.90522</v>
      </c>
      <c r="E86" s="74">
        <f>D86*E5</f>
        <v>0.271566</v>
      </c>
      <c r="F86" s="74"/>
      <c r="G86" s="74"/>
      <c r="H86" s="74"/>
      <c r="I86" s="74"/>
      <c r="J86" s="74"/>
      <c r="K86" s="74"/>
      <c r="L86" s="74"/>
      <c r="M86" s="74"/>
      <c r="N86" s="74">
        <f t="shared" si="13"/>
        <v>0.271566</v>
      </c>
      <c r="O86" s="84">
        <v>0.271525</v>
      </c>
      <c r="P86" s="84">
        <f t="shared" si="14"/>
        <v>4.09999999999577e-5</v>
      </c>
    </row>
    <row r="87" s="61" customFormat="1" customHeight="1" spans="1:16">
      <c r="A87" s="71">
        <v>82</v>
      </c>
      <c r="B87" s="77"/>
      <c r="C87" s="73" t="s">
        <v>184</v>
      </c>
      <c r="D87" s="74">
        <v>0</v>
      </c>
      <c r="E87" s="74"/>
      <c r="F87" s="74"/>
      <c r="G87" s="74"/>
      <c r="H87" s="74"/>
      <c r="I87" s="74"/>
      <c r="J87" s="74"/>
      <c r="K87" s="74"/>
      <c r="L87" s="74"/>
      <c r="M87" s="74"/>
      <c r="N87" s="74">
        <f t="shared" si="13"/>
        <v>0</v>
      </c>
      <c r="O87" s="80"/>
      <c r="P87" s="84">
        <f t="shared" si="14"/>
        <v>0</v>
      </c>
    </row>
    <row r="88" s="61" customFormat="1" customHeight="1" spans="1:16">
      <c r="A88" s="71">
        <v>83</v>
      </c>
      <c r="B88" s="75"/>
      <c r="C88" s="78"/>
      <c r="D88" s="74"/>
      <c r="E88" s="74"/>
      <c r="F88" s="74"/>
      <c r="G88" s="74"/>
      <c r="H88" s="74"/>
      <c r="I88" s="74"/>
      <c r="J88" s="74"/>
      <c r="L88" s="74"/>
      <c r="M88" s="74"/>
      <c r="N88" s="85">
        <f>SUM(N75:N87)</f>
        <v>10.85914775</v>
      </c>
      <c r="O88" s="80"/>
      <c r="P88" s="84"/>
    </row>
    <row r="89" s="61" customFormat="1" customHeight="1" spans="1:16">
      <c r="A89" s="71">
        <v>84</v>
      </c>
      <c r="B89" s="72" t="s">
        <v>145</v>
      </c>
      <c r="C89" s="73" t="s">
        <v>321</v>
      </c>
      <c r="D89" s="74">
        <v>0.851386</v>
      </c>
      <c r="E89" s="74">
        <f>D89*E5</f>
        <v>0.2554158</v>
      </c>
      <c r="F89" s="74"/>
      <c r="G89" s="74"/>
      <c r="H89" s="74"/>
      <c r="I89" s="74"/>
      <c r="J89" s="74"/>
      <c r="K89" s="74"/>
      <c r="L89" s="74"/>
      <c r="M89" s="74"/>
      <c r="N89" s="74">
        <f t="shared" ref="N89:N101" si="15">SUM(E89:M89)</f>
        <v>0.2554158</v>
      </c>
      <c r="O89" s="84">
        <v>0.2554328</v>
      </c>
      <c r="P89" s="84">
        <f t="shared" ref="P89:P101" si="16">N89-O89</f>
        <v>-1.69999999999892e-5</v>
      </c>
    </row>
    <row r="90" s="61" customFormat="1" customHeight="1" spans="1:16">
      <c r="A90" s="71">
        <v>85</v>
      </c>
      <c r="B90" s="75"/>
      <c r="C90" s="73" t="s">
        <v>322</v>
      </c>
      <c r="D90" s="74">
        <v>2.71843</v>
      </c>
      <c r="E90" s="74">
        <v>0.3</v>
      </c>
      <c r="F90" s="74">
        <v>0.25</v>
      </c>
      <c r="G90" s="74">
        <f>(7184.3*G5)/10000</f>
        <v>0.1724232</v>
      </c>
      <c r="H90" s="74"/>
      <c r="I90" s="74"/>
      <c r="J90" s="74"/>
      <c r="K90" s="74"/>
      <c r="L90" s="74"/>
      <c r="M90" s="74"/>
      <c r="N90" s="74">
        <f t="shared" si="15"/>
        <v>0.7224232</v>
      </c>
      <c r="O90" s="84">
        <v>0.6795715</v>
      </c>
      <c r="P90" s="84">
        <f t="shared" si="16"/>
        <v>0.0428517</v>
      </c>
    </row>
    <row r="91" s="61" customFormat="1" customHeight="1" spans="1:16">
      <c r="A91" s="71">
        <v>86</v>
      </c>
      <c r="B91" s="75"/>
      <c r="C91" s="73" t="s">
        <v>323</v>
      </c>
      <c r="D91" s="74">
        <v>6.034006</v>
      </c>
      <c r="E91" s="74">
        <v>0.3</v>
      </c>
      <c r="F91" s="74">
        <v>0.25</v>
      </c>
      <c r="G91" s="74">
        <v>0.48</v>
      </c>
      <c r="H91" s="74">
        <v>0.46</v>
      </c>
      <c r="I91" s="76">
        <f>(340.06*I5)/10000</f>
        <v>0.00714126</v>
      </c>
      <c r="J91" s="74"/>
      <c r="K91" s="74"/>
      <c r="L91" s="74"/>
      <c r="M91" s="74"/>
      <c r="N91" s="74">
        <f t="shared" si="15"/>
        <v>1.49714126</v>
      </c>
      <c r="O91" s="84">
        <v>1.44820224</v>
      </c>
      <c r="P91" s="84">
        <f t="shared" si="16"/>
        <v>0.0489390199999999</v>
      </c>
    </row>
    <row r="92" s="61" customFormat="1" customHeight="1" spans="1:16">
      <c r="A92" s="71">
        <v>87</v>
      </c>
      <c r="B92" s="75"/>
      <c r="C92" s="73" t="s">
        <v>324</v>
      </c>
      <c r="D92" s="74">
        <v>0.771573</v>
      </c>
      <c r="E92" s="74">
        <f>D92*E5</f>
        <v>0.2314719</v>
      </c>
      <c r="F92" s="74"/>
      <c r="G92" s="74"/>
      <c r="H92" s="74"/>
      <c r="I92" s="74"/>
      <c r="J92" s="74"/>
      <c r="K92" s="74"/>
      <c r="L92" s="74"/>
      <c r="M92" s="74"/>
      <c r="N92" s="74">
        <f t="shared" si="15"/>
        <v>0.2314719</v>
      </c>
      <c r="O92" s="84">
        <v>0.2314812</v>
      </c>
      <c r="P92" s="84">
        <f t="shared" si="16"/>
        <v>-9.30000000001763e-6</v>
      </c>
    </row>
    <row r="93" s="61" customFormat="1" customHeight="1" spans="1:16">
      <c r="A93" s="71">
        <v>88</v>
      </c>
      <c r="B93" s="75"/>
      <c r="C93" s="73" t="s">
        <v>325</v>
      </c>
      <c r="D93" s="74">
        <v>0.126095</v>
      </c>
      <c r="E93" s="74">
        <f>D93*E5</f>
        <v>0.0378285</v>
      </c>
      <c r="F93" s="74"/>
      <c r="G93" s="74"/>
      <c r="H93" s="74"/>
      <c r="I93" s="74"/>
      <c r="J93" s="74"/>
      <c r="K93" s="74"/>
      <c r="L93" s="74"/>
      <c r="M93" s="74"/>
      <c r="N93" s="74">
        <f t="shared" si="15"/>
        <v>0.0378285</v>
      </c>
      <c r="O93" s="84">
        <v>0.0378525</v>
      </c>
      <c r="P93" s="84">
        <f t="shared" si="16"/>
        <v>-2.39999999999962e-5</v>
      </c>
    </row>
    <row r="94" s="61" customFormat="1" customHeight="1" spans="1:16">
      <c r="A94" s="71">
        <v>89</v>
      </c>
      <c r="B94" s="75"/>
      <c r="C94" s="73" t="s">
        <v>326</v>
      </c>
      <c r="D94" s="74">
        <v>0.53967</v>
      </c>
      <c r="E94" s="74">
        <f>D94*E5</f>
        <v>0.161901</v>
      </c>
      <c r="F94" s="74"/>
      <c r="G94" s="74"/>
      <c r="H94" s="74"/>
      <c r="I94" s="74"/>
      <c r="J94" s="74"/>
      <c r="K94" s="74"/>
      <c r="L94" s="74"/>
      <c r="M94" s="74"/>
      <c r="N94" s="74">
        <f t="shared" si="15"/>
        <v>0.161901</v>
      </c>
      <c r="O94" s="84">
        <v>0.161889</v>
      </c>
      <c r="P94" s="84">
        <f t="shared" si="16"/>
        <v>1.19999999999842e-5</v>
      </c>
    </row>
    <row r="95" s="61" customFormat="1" customHeight="1" spans="1:16">
      <c r="A95" s="71">
        <v>90</v>
      </c>
      <c r="B95" s="75"/>
      <c r="C95" s="73" t="s">
        <v>327</v>
      </c>
      <c r="D95" s="74">
        <v>1.328664</v>
      </c>
      <c r="E95" s="74">
        <v>0.3</v>
      </c>
      <c r="F95" s="74">
        <f>(3286.64)/10000</f>
        <v>0.328664</v>
      </c>
      <c r="G95" s="74"/>
      <c r="H95" s="74"/>
      <c r="I95" s="74"/>
      <c r="J95" s="74"/>
      <c r="K95" s="74"/>
      <c r="L95" s="74"/>
      <c r="M95" s="74"/>
      <c r="N95" s="74">
        <f t="shared" si="15"/>
        <v>0.628664</v>
      </c>
      <c r="O95" s="84">
        <v>0.3466</v>
      </c>
      <c r="P95" s="84">
        <f t="shared" si="16"/>
        <v>0.282064</v>
      </c>
    </row>
    <row r="96" s="61" customFormat="1" customHeight="1" spans="1:16">
      <c r="A96" s="71">
        <v>91</v>
      </c>
      <c r="B96" s="75"/>
      <c r="C96" s="73" t="s">
        <v>328</v>
      </c>
      <c r="D96" s="74">
        <v>0.2372</v>
      </c>
      <c r="E96" s="74">
        <f>D96*E5</f>
        <v>0.07116</v>
      </c>
      <c r="F96" s="74"/>
      <c r="G96" s="74"/>
      <c r="H96" s="74"/>
      <c r="I96" s="74"/>
      <c r="J96" s="74"/>
      <c r="K96" s="74"/>
      <c r="L96" s="74"/>
      <c r="M96" s="74"/>
      <c r="N96" s="74">
        <f t="shared" si="15"/>
        <v>0.07116</v>
      </c>
      <c r="O96" s="84">
        <v>0.071171</v>
      </c>
      <c r="P96" s="84">
        <f t="shared" si="16"/>
        <v>-1.09999999999971e-5</v>
      </c>
    </row>
    <row r="97" s="61" customFormat="1" customHeight="1" spans="1:16">
      <c r="A97" s="71">
        <v>92</v>
      </c>
      <c r="B97" s="75"/>
      <c r="C97" s="73" t="s">
        <v>146</v>
      </c>
      <c r="D97" s="74">
        <v>0.343245</v>
      </c>
      <c r="E97" s="74">
        <f>D97*E5</f>
        <v>0.1029735</v>
      </c>
      <c r="F97" s="74"/>
      <c r="G97" s="74"/>
      <c r="H97" s="74"/>
      <c r="I97" s="74"/>
      <c r="J97" s="74"/>
      <c r="K97" s="74"/>
      <c r="L97" s="74"/>
      <c r="M97" s="74"/>
      <c r="N97" s="74">
        <f t="shared" si="15"/>
        <v>0.1029735</v>
      </c>
      <c r="O97" s="84">
        <v>0.103</v>
      </c>
      <c r="P97" s="84">
        <f t="shared" si="16"/>
        <v>-2.65000000000126e-5</v>
      </c>
    </row>
    <row r="98" s="61" customFormat="1" customHeight="1" spans="1:16">
      <c r="A98" s="71">
        <v>93</v>
      </c>
      <c r="B98" s="75"/>
      <c r="C98" s="73" t="s">
        <v>329</v>
      </c>
      <c r="D98" s="74">
        <v>0.18274</v>
      </c>
      <c r="E98" s="74">
        <f>D98*E5</f>
        <v>0.054822</v>
      </c>
      <c r="F98" s="74"/>
      <c r="G98" s="74"/>
      <c r="H98" s="74"/>
      <c r="I98" s="74"/>
      <c r="J98" s="74"/>
      <c r="K98" s="74"/>
      <c r="L98" s="74"/>
      <c r="M98" s="74"/>
      <c r="N98" s="74">
        <f t="shared" si="15"/>
        <v>0.054822</v>
      </c>
      <c r="O98" s="84">
        <v>0.054778</v>
      </c>
      <c r="P98" s="84">
        <f t="shared" si="16"/>
        <v>4.40000000000024e-5</v>
      </c>
    </row>
    <row r="99" s="61" customFormat="1" customHeight="1" spans="1:16">
      <c r="A99" s="71">
        <v>94</v>
      </c>
      <c r="B99" s="75"/>
      <c r="C99" s="73" t="s">
        <v>147</v>
      </c>
      <c r="D99" s="74">
        <v>0.04445</v>
      </c>
      <c r="E99" s="74">
        <f>D99*E5</f>
        <v>0.013335</v>
      </c>
      <c r="F99" s="74"/>
      <c r="G99" s="74"/>
      <c r="H99" s="74"/>
      <c r="I99" s="74"/>
      <c r="J99" s="74"/>
      <c r="K99" s="74"/>
      <c r="L99" s="74"/>
      <c r="M99" s="74"/>
      <c r="N99" s="74">
        <f t="shared" si="15"/>
        <v>0.013335</v>
      </c>
      <c r="O99" s="84">
        <v>0.0133</v>
      </c>
      <c r="P99" s="84">
        <f t="shared" si="16"/>
        <v>3.5000000000002e-5</v>
      </c>
    </row>
    <row r="100" s="61" customFormat="1" customHeight="1" spans="1:16">
      <c r="A100" s="71">
        <v>95</v>
      </c>
      <c r="B100" s="75"/>
      <c r="C100" s="73" t="s">
        <v>148</v>
      </c>
      <c r="D100" s="74">
        <v>0.085205</v>
      </c>
      <c r="E100" s="74">
        <f>D100*E5</f>
        <v>0.0255615</v>
      </c>
      <c r="F100" s="74"/>
      <c r="G100" s="74"/>
      <c r="H100" s="74"/>
      <c r="I100" s="74"/>
      <c r="J100" s="74"/>
      <c r="K100" s="74"/>
      <c r="L100" s="74"/>
      <c r="M100" s="74"/>
      <c r="N100" s="74">
        <f t="shared" si="15"/>
        <v>0.0255615</v>
      </c>
      <c r="O100" s="84">
        <v>0.0256</v>
      </c>
      <c r="P100" s="84">
        <f t="shared" si="16"/>
        <v>-3.85000000000038e-5</v>
      </c>
    </row>
    <row r="101" s="61" customFormat="1" customHeight="1" spans="1:16">
      <c r="A101" s="71">
        <v>96</v>
      </c>
      <c r="B101" s="77"/>
      <c r="C101" s="73" t="s">
        <v>330</v>
      </c>
      <c r="D101" s="74">
        <v>0.02339</v>
      </c>
      <c r="E101" s="74">
        <f>D101*E5</f>
        <v>0.007017</v>
      </c>
      <c r="F101" s="74"/>
      <c r="G101" s="74"/>
      <c r="H101" s="74"/>
      <c r="I101" s="74"/>
      <c r="J101" s="74"/>
      <c r="K101" s="74"/>
      <c r="L101" s="74"/>
      <c r="M101" s="74"/>
      <c r="N101" s="74">
        <f t="shared" si="15"/>
        <v>0.007017</v>
      </c>
      <c r="O101" s="84">
        <v>0.007017</v>
      </c>
      <c r="P101" s="84">
        <f t="shared" si="16"/>
        <v>0</v>
      </c>
    </row>
    <row r="102" s="61" customFormat="1" customHeight="1" spans="1:16">
      <c r="A102" s="71">
        <v>97</v>
      </c>
      <c r="B102" s="75"/>
      <c r="C102" s="78"/>
      <c r="D102" s="74"/>
      <c r="E102" s="74"/>
      <c r="F102" s="74"/>
      <c r="G102" s="74"/>
      <c r="H102" s="74"/>
      <c r="I102" s="74"/>
      <c r="J102" s="74"/>
      <c r="L102" s="74"/>
      <c r="M102" s="74"/>
      <c r="N102" s="85">
        <f>SUM(N89:N101)</f>
        <v>3.80971466</v>
      </c>
      <c r="O102" s="80"/>
      <c r="P102" s="84"/>
    </row>
    <row r="103" s="61" customFormat="1" customHeight="1" spans="1:16">
      <c r="A103" s="71">
        <v>98</v>
      </c>
      <c r="B103" s="72" t="s">
        <v>149</v>
      </c>
      <c r="C103" s="73" t="s">
        <v>331</v>
      </c>
      <c r="D103" s="74">
        <v>0.08269</v>
      </c>
      <c r="E103" s="74">
        <f>D103*E5</f>
        <v>0.024807</v>
      </c>
      <c r="F103" s="74"/>
      <c r="G103" s="74"/>
      <c r="H103" s="74"/>
      <c r="I103" s="74"/>
      <c r="J103" s="74"/>
      <c r="K103" s="74"/>
      <c r="L103" s="74"/>
      <c r="M103" s="74"/>
      <c r="N103" s="74">
        <f t="shared" ref="N103:N119" si="17">SUM(E103:M103)</f>
        <v>0.024807</v>
      </c>
      <c r="O103" s="84">
        <v>0.024777</v>
      </c>
      <c r="P103" s="84">
        <f t="shared" ref="P103:P119" si="18">N103-O103</f>
        <v>2.99999999999988e-5</v>
      </c>
    </row>
    <row r="104" s="61" customFormat="1" customHeight="1" spans="1:16">
      <c r="A104" s="71">
        <v>99</v>
      </c>
      <c r="B104" s="75"/>
      <c r="C104" s="73" t="s">
        <v>332</v>
      </c>
      <c r="D104" s="74">
        <v>3.016397</v>
      </c>
      <c r="E104" s="74">
        <v>0.3</v>
      </c>
      <c r="F104" s="74">
        <v>0.25</v>
      </c>
      <c r="G104" s="74">
        <f>(10163.97*G5)/10000</f>
        <v>0.24393528</v>
      </c>
      <c r="H104" s="74"/>
      <c r="I104" s="74"/>
      <c r="J104" s="74"/>
      <c r="K104" s="74"/>
      <c r="L104" s="74"/>
      <c r="M104" s="74"/>
      <c r="N104" s="74">
        <f t="shared" si="17"/>
        <v>0.79393528</v>
      </c>
      <c r="O104" s="84">
        <v>0.754145</v>
      </c>
      <c r="P104" s="84">
        <f t="shared" si="18"/>
        <v>0.0397902800000001</v>
      </c>
    </row>
    <row r="105" s="61" customFormat="1" customHeight="1" spans="1:16">
      <c r="A105" s="71">
        <v>100</v>
      </c>
      <c r="B105" s="75"/>
      <c r="C105" s="73" t="s">
        <v>333</v>
      </c>
      <c r="D105" s="74">
        <v>0.54281</v>
      </c>
      <c r="E105" s="74">
        <f>D105*E5</f>
        <v>0.162843</v>
      </c>
      <c r="F105" s="74"/>
      <c r="G105" s="74"/>
      <c r="H105" s="74"/>
      <c r="I105" s="74"/>
      <c r="J105" s="74"/>
      <c r="K105" s="74"/>
      <c r="L105" s="74"/>
      <c r="M105" s="74"/>
      <c r="N105" s="74">
        <f t="shared" si="17"/>
        <v>0.162843</v>
      </c>
      <c r="O105" s="84">
        <v>0.162824</v>
      </c>
      <c r="P105" s="84">
        <f t="shared" si="18"/>
        <v>1.89999999999912e-5</v>
      </c>
    </row>
    <row r="106" s="61" customFormat="1" customHeight="1" spans="1:16">
      <c r="A106" s="71">
        <v>101</v>
      </c>
      <c r="B106" s="75"/>
      <c r="C106" s="73" t="s">
        <v>334</v>
      </c>
      <c r="D106" s="74">
        <v>2.564854</v>
      </c>
      <c r="E106" s="74">
        <v>0.3</v>
      </c>
      <c r="F106" s="74">
        <v>0.25</v>
      </c>
      <c r="G106" s="74">
        <f>(5648.54*G5)/10000</f>
        <v>0.13556496</v>
      </c>
      <c r="H106" s="74"/>
      <c r="I106" s="74"/>
      <c r="J106" s="74"/>
      <c r="K106" s="74"/>
      <c r="L106" s="74"/>
      <c r="M106" s="74"/>
      <c r="N106" s="74">
        <f t="shared" si="17"/>
        <v>0.68556496</v>
      </c>
      <c r="O106" s="84">
        <v>0.641216</v>
      </c>
      <c r="P106" s="84">
        <f t="shared" si="18"/>
        <v>0.04434896</v>
      </c>
    </row>
    <row r="107" s="61" customFormat="1" customHeight="1" spans="1:16">
      <c r="A107" s="71">
        <v>102</v>
      </c>
      <c r="B107" s="75"/>
      <c r="C107" s="73" t="s">
        <v>335</v>
      </c>
      <c r="D107" s="74">
        <v>1.268741</v>
      </c>
      <c r="E107" s="74">
        <v>0.3</v>
      </c>
      <c r="F107" s="76">
        <f>(2687.41*F5)/10000</f>
        <v>0.06718525</v>
      </c>
      <c r="G107" s="74"/>
      <c r="H107" s="74"/>
      <c r="I107" s="74"/>
      <c r="J107" s="74"/>
      <c r="K107" s="74"/>
      <c r="L107" s="74"/>
      <c r="M107" s="74"/>
      <c r="N107" s="74">
        <f t="shared" si="17"/>
        <v>0.36718525</v>
      </c>
      <c r="O107" s="84">
        <v>0.3805958</v>
      </c>
      <c r="P107" s="84">
        <f t="shared" si="18"/>
        <v>-0.01341055</v>
      </c>
    </row>
    <row r="108" s="61" customFormat="1" customHeight="1" spans="1:16">
      <c r="A108" s="71">
        <v>103</v>
      </c>
      <c r="B108" s="75"/>
      <c r="C108" s="73" t="s">
        <v>336</v>
      </c>
      <c r="D108" s="74">
        <v>0.175595</v>
      </c>
      <c r="E108" s="74">
        <f>D108*E5</f>
        <v>0.0526785</v>
      </c>
      <c r="F108" s="74"/>
      <c r="G108" s="74"/>
      <c r="H108" s="74"/>
      <c r="I108" s="74"/>
      <c r="J108" s="74"/>
      <c r="K108" s="74"/>
      <c r="L108" s="74"/>
      <c r="M108" s="74"/>
      <c r="N108" s="74">
        <f t="shared" si="17"/>
        <v>0.0526785</v>
      </c>
      <c r="O108" s="84">
        <v>0.0527205</v>
      </c>
      <c r="P108" s="84">
        <f t="shared" si="18"/>
        <v>-4.20000000000073e-5</v>
      </c>
    </row>
    <row r="109" s="61" customFormat="1" customHeight="1" spans="1:16">
      <c r="A109" s="71">
        <v>104</v>
      </c>
      <c r="B109" s="75"/>
      <c r="C109" s="73" t="s">
        <v>337</v>
      </c>
      <c r="D109" s="74">
        <v>0.545003</v>
      </c>
      <c r="E109" s="74">
        <f>D109*E5</f>
        <v>0.1635009</v>
      </c>
      <c r="F109" s="74"/>
      <c r="G109" s="74"/>
      <c r="H109" s="74"/>
      <c r="I109" s="74"/>
      <c r="J109" s="74"/>
      <c r="K109" s="74"/>
      <c r="L109" s="74"/>
      <c r="M109" s="74"/>
      <c r="N109" s="74">
        <f t="shared" si="17"/>
        <v>0.1635009</v>
      </c>
      <c r="O109" s="84">
        <v>0.1635348</v>
      </c>
      <c r="P109" s="84">
        <f t="shared" si="18"/>
        <v>-3.39000000000034e-5</v>
      </c>
    </row>
    <row r="110" s="61" customFormat="1" customHeight="1" spans="1:16">
      <c r="A110" s="71">
        <v>105</v>
      </c>
      <c r="B110" s="75"/>
      <c r="C110" s="73" t="s">
        <v>338</v>
      </c>
      <c r="D110" s="74">
        <v>0.28107</v>
      </c>
      <c r="E110" s="74">
        <f>D110*E5</f>
        <v>0.084321</v>
      </c>
      <c r="F110" s="74"/>
      <c r="G110" s="74"/>
      <c r="H110" s="74"/>
      <c r="I110" s="74"/>
      <c r="J110" s="74"/>
      <c r="K110" s="74"/>
      <c r="L110" s="74"/>
      <c r="M110" s="74"/>
      <c r="N110" s="74">
        <f t="shared" si="17"/>
        <v>0.084321</v>
      </c>
      <c r="O110" s="84">
        <v>0.0842712</v>
      </c>
      <c r="P110" s="84">
        <f t="shared" si="18"/>
        <v>4.97999999999887e-5</v>
      </c>
    </row>
    <row r="111" s="61" customFormat="1" customHeight="1" spans="1:16">
      <c r="A111" s="71">
        <v>106</v>
      </c>
      <c r="B111" s="75"/>
      <c r="C111" s="73" t="s">
        <v>339</v>
      </c>
      <c r="D111" s="74">
        <v>0.351806</v>
      </c>
      <c r="E111" s="74">
        <f>D111*E5</f>
        <v>0.1055418</v>
      </c>
      <c r="F111" s="74"/>
      <c r="G111" s="74"/>
      <c r="H111" s="74"/>
      <c r="I111" s="74"/>
      <c r="J111" s="74"/>
      <c r="K111" s="74"/>
      <c r="L111" s="74"/>
      <c r="M111" s="74"/>
      <c r="N111" s="74">
        <f t="shared" si="17"/>
        <v>0.1055418</v>
      </c>
      <c r="O111" s="84">
        <v>0.1055462</v>
      </c>
      <c r="P111" s="84">
        <f t="shared" si="18"/>
        <v>-4.39999999998775e-6</v>
      </c>
    </row>
    <row r="112" s="61" customFormat="1" customHeight="1" spans="1:16">
      <c r="A112" s="71">
        <v>107</v>
      </c>
      <c r="B112" s="75"/>
      <c r="C112" s="73" t="s">
        <v>340</v>
      </c>
      <c r="D112" s="74">
        <v>0.219685</v>
      </c>
      <c r="E112" s="74">
        <f>D112*E5</f>
        <v>0.0659055</v>
      </c>
      <c r="F112" s="74"/>
      <c r="G112" s="74"/>
      <c r="H112" s="74"/>
      <c r="I112" s="74"/>
      <c r="J112" s="74"/>
      <c r="K112" s="74"/>
      <c r="L112" s="74"/>
      <c r="M112" s="74"/>
      <c r="N112" s="74">
        <f t="shared" si="17"/>
        <v>0.0659055</v>
      </c>
      <c r="O112" s="84">
        <v>0.0659445</v>
      </c>
      <c r="P112" s="84">
        <f t="shared" si="18"/>
        <v>-3.90000000000112e-5</v>
      </c>
    </row>
    <row r="113" s="61" customFormat="1" customHeight="1" spans="1:16">
      <c r="A113" s="71">
        <v>108</v>
      </c>
      <c r="B113" s="75"/>
      <c r="C113" s="73" t="s">
        <v>341</v>
      </c>
      <c r="D113" s="74">
        <v>0.30701</v>
      </c>
      <c r="E113" s="74">
        <f>D113*E5</f>
        <v>0.092103</v>
      </c>
      <c r="F113" s="74"/>
      <c r="G113" s="74"/>
      <c r="H113" s="74"/>
      <c r="I113" s="74"/>
      <c r="J113" s="74"/>
      <c r="K113" s="74"/>
      <c r="L113" s="74"/>
      <c r="M113" s="74"/>
      <c r="N113" s="74">
        <f t="shared" si="17"/>
        <v>0.092103</v>
      </c>
      <c r="O113" s="84">
        <v>0.092077</v>
      </c>
      <c r="P113" s="84">
        <f t="shared" si="18"/>
        <v>2.60000000000121e-5</v>
      </c>
    </row>
    <row r="114" s="61" customFormat="1" customHeight="1" spans="1:16">
      <c r="A114" s="71">
        <v>109</v>
      </c>
      <c r="B114" s="75"/>
      <c r="C114" s="73" t="s">
        <v>342</v>
      </c>
      <c r="D114" s="74">
        <v>0.58427</v>
      </c>
      <c r="E114" s="74">
        <f>D114*E5</f>
        <v>0.175281</v>
      </c>
      <c r="F114" s="74"/>
      <c r="G114" s="74"/>
      <c r="H114" s="74"/>
      <c r="I114" s="74"/>
      <c r="J114" s="74"/>
      <c r="K114" s="74"/>
      <c r="L114" s="74"/>
      <c r="M114" s="74"/>
      <c r="N114" s="74">
        <f t="shared" si="17"/>
        <v>0.175281</v>
      </c>
      <c r="O114" s="84">
        <v>0.1752825</v>
      </c>
      <c r="P114" s="84">
        <f t="shared" si="18"/>
        <v>-1.50000000001538e-6</v>
      </c>
    </row>
    <row r="115" s="61" customFormat="1" customHeight="1" spans="1:16">
      <c r="A115" s="71">
        <v>110</v>
      </c>
      <c r="B115" s="75"/>
      <c r="C115" s="73" t="s">
        <v>150</v>
      </c>
      <c r="D115" s="74">
        <v>1.07946</v>
      </c>
      <c r="E115" s="74">
        <v>0.3</v>
      </c>
      <c r="F115" s="76">
        <f>(794.6*F5)/10000</f>
        <v>0.019865</v>
      </c>
      <c r="G115" s="74"/>
      <c r="H115" s="74"/>
      <c r="I115" s="74"/>
      <c r="J115" s="74"/>
      <c r="K115" s="74"/>
      <c r="L115" s="74"/>
      <c r="M115" s="74"/>
      <c r="N115" s="74">
        <f t="shared" si="17"/>
        <v>0.319865</v>
      </c>
      <c r="O115" s="84">
        <v>0.2699</v>
      </c>
      <c r="P115" s="84">
        <f t="shared" si="18"/>
        <v>0.049965</v>
      </c>
    </row>
    <row r="116" s="61" customFormat="1" customHeight="1" spans="1:16">
      <c r="A116" s="71">
        <v>111</v>
      </c>
      <c r="B116" s="75"/>
      <c r="C116" s="73" t="s">
        <v>343</v>
      </c>
      <c r="D116" s="74">
        <v>0.299503</v>
      </c>
      <c r="E116" s="74">
        <f>D116*E5</f>
        <v>0.0898509</v>
      </c>
      <c r="F116" s="74"/>
      <c r="G116" s="74"/>
      <c r="H116" s="74"/>
      <c r="I116" s="74"/>
      <c r="J116" s="74"/>
      <c r="K116" s="74"/>
      <c r="L116" s="74"/>
      <c r="M116" s="74"/>
      <c r="N116" s="74">
        <f t="shared" si="17"/>
        <v>0.0898509</v>
      </c>
      <c r="O116" s="84">
        <v>0.0898494</v>
      </c>
      <c r="P116" s="84">
        <f t="shared" si="18"/>
        <v>1.5000000000015e-6</v>
      </c>
    </row>
    <row r="117" s="61" customFormat="1" customHeight="1" spans="1:16">
      <c r="A117" s="71">
        <v>112</v>
      </c>
      <c r="B117" s="75"/>
      <c r="C117" s="73" t="s">
        <v>344</v>
      </c>
      <c r="D117" s="74">
        <v>1.083329</v>
      </c>
      <c r="E117" s="74">
        <v>0.3</v>
      </c>
      <c r="F117" s="76">
        <f>(833.29*F5)/10000</f>
        <v>0.02083225</v>
      </c>
      <c r="G117" s="74"/>
      <c r="H117" s="74"/>
      <c r="I117" s="74"/>
      <c r="J117" s="74"/>
      <c r="K117" s="74"/>
      <c r="L117" s="74"/>
      <c r="M117" s="74"/>
      <c r="N117" s="74">
        <f t="shared" si="17"/>
        <v>0.32083225</v>
      </c>
      <c r="O117" s="84">
        <v>0.3250041</v>
      </c>
      <c r="P117" s="84">
        <f t="shared" si="18"/>
        <v>-0.00417185000000003</v>
      </c>
    </row>
    <row r="118" s="61" customFormat="1" customHeight="1" spans="1:16">
      <c r="A118" s="71">
        <v>113</v>
      </c>
      <c r="B118" s="75"/>
      <c r="C118" s="73" t="s">
        <v>345</v>
      </c>
      <c r="D118" s="74">
        <v>0.10942</v>
      </c>
      <c r="E118" s="74">
        <f>D118*E5</f>
        <v>0.032826</v>
      </c>
      <c r="F118" s="74"/>
      <c r="G118" s="74"/>
      <c r="H118" s="74"/>
      <c r="I118" s="74"/>
      <c r="J118" s="74"/>
      <c r="K118" s="74"/>
      <c r="L118" s="74"/>
      <c r="M118" s="74"/>
      <c r="N118" s="74">
        <f t="shared" si="17"/>
        <v>0.032826</v>
      </c>
      <c r="O118" s="84">
        <v>0.032777</v>
      </c>
      <c r="P118" s="84">
        <f t="shared" si="18"/>
        <v>4.90000000000004e-5</v>
      </c>
    </row>
    <row r="119" s="61" customFormat="1" customHeight="1" spans="1:16">
      <c r="A119" s="71">
        <v>114</v>
      </c>
      <c r="B119" s="77"/>
      <c r="C119" s="73" t="s">
        <v>346</v>
      </c>
      <c r="D119" s="74">
        <v>0.824215</v>
      </c>
      <c r="E119" s="74">
        <f>D119*E5</f>
        <v>0.2472645</v>
      </c>
      <c r="F119" s="74"/>
      <c r="G119" s="74"/>
      <c r="H119" s="74"/>
      <c r="I119" s="74"/>
      <c r="J119" s="74"/>
      <c r="K119" s="74"/>
      <c r="L119" s="74"/>
      <c r="M119" s="74"/>
      <c r="N119" s="74">
        <f t="shared" si="17"/>
        <v>0.2472645</v>
      </c>
      <c r="O119" s="84">
        <v>0.2472667</v>
      </c>
      <c r="P119" s="84">
        <f t="shared" si="18"/>
        <v>-2.20000000000775e-6</v>
      </c>
    </row>
    <row r="120" s="61" customFormat="1" customHeight="1" spans="1:16">
      <c r="A120" s="71">
        <v>115</v>
      </c>
      <c r="B120" s="75"/>
      <c r="C120" s="78"/>
      <c r="D120" s="74"/>
      <c r="E120" s="74"/>
      <c r="F120" s="74"/>
      <c r="G120" s="74"/>
      <c r="H120" s="74"/>
      <c r="I120" s="74"/>
      <c r="J120" s="74"/>
      <c r="L120" s="74"/>
      <c r="M120" s="74"/>
      <c r="N120" s="85">
        <f>SUM(N103:N119)</f>
        <v>3.78430584</v>
      </c>
      <c r="O120" s="80"/>
      <c r="P120" s="84"/>
    </row>
    <row r="121" s="61" customFormat="1" customHeight="1" spans="1:16">
      <c r="A121" s="71">
        <v>116</v>
      </c>
      <c r="B121" s="72" t="s">
        <v>347</v>
      </c>
      <c r="C121" s="73" t="s">
        <v>348</v>
      </c>
      <c r="D121" s="74">
        <v>0.642217</v>
      </c>
      <c r="E121" s="74">
        <f>D121*E5</f>
        <v>0.1926651</v>
      </c>
      <c r="F121" s="74"/>
      <c r="G121" s="74"/>
      <c r="H121" s="74"/>
      <c r="I121" s="74"/>
      <c r="J121" s="74"/>
      <c r="K121" s="74"/>
      <c r="L121" s="74"/>
      <c r="M121" s="74"/>
      <c r="N121" s="74">
        <f t="shared" ref="N121:N134" si="19">SUM(E121:M121)</f>
        <v>0.1926651</v>
      </c>
      <c r="O121" s="84">
        <v>0.192667</v>
      </c>
      <c r="P121" s="84">
        <f t="shared" ref="P121:P134" si="20">N121-O121</f>
        <v>-1.89999999999912e-6</v>
      </c>
    </row>
    <row r="122" s="61" customFormat="1" customHeight="1" spans="1:16">
      <c r="A122" s="71">
        <v>117</v>
      </c>
      <c r="B122" s="75"/>
      <c r="C122" s="73" t="s">
        <v>349</v>
      </c>
      <c r="D122" s="74">
        <v>25.398113</v>
      </c>
      <c r="E122" s="74">
        <v>0.3</v>
      </c>
      <c r="F122" s="74">
        <v>0.25</v>
      </c>
      <c r="G122" s="74">
        <v>0.48</v>
      </c>
      <c r="H122" s="74">
        <v>0.46</v>
      </c>
      <c r="I122" s="74">
        <v>0.84</v>
      </c>
      <c r="J122" s="74">
        <v>1</v>
      </c>
      <c r="K122" s="74">
        <v>0.95</v>
      </c>
      <c r="L122" s="74">
        <f>(53981.13*L5)/10000</f>
        <v>0.97166034</v>
      </c>
      <c r="M122" s="74"/>
      <c r="N122" s="74">
        <f t="shared" si="19"/>
        <v>5.25166034</v>
      </c>
      <c r="O122" s="84">
        <v>5.0795752</v>
      </c>
      <c r="P122" s="84">
        <f t="shared" si="20"/>
        <v>0.17208514</v>
      </c>
    </row>
    <row r="123" s="61" customFormat="1" customHeight="1" spans="1:16">
      <c r="A123" s="71">
        <v>118</v>
      </c>
      <c r="B123" s="75"/>
      <c r="C123" s="73" t="s">
        <v>350</v>
      </c>
      <c r="D123" s="74">
        <v>6.64817</v>
      </c>
      <c r="E123" s="74">
        <v>0.3</v>
      </c>
      <c r="F123" s="74">
        <v>0.25</v>
      </c>
      <c r="G123" s="74">
        <v>0.48</v>
      </c>
      <c r="H123" s="74">
        <v>0.46</v>
      </c>
      <c r="I123" s="74">
        <f>(6481.7*I5)/10000</f>
        <v>0.1361157</v>
      </c>
      <c r="J123" s="74"/>
      <c r="K123" s="74"/>
      <c r="L123" s="74"/>
      <c r="M123" s="74"/>
      <c r="N123" s="74">
        <f t="shared" si="19"/>
        <v>1.6261157</v>
      </c>
      <c r="O123" s="84">
        <v>1.59554624</v>
      </c>
      <c r="P123" s="84">
        <f t="shared" si="20"/>
        <v>0.0305694599999999</v>
      </c>
    </row>
    <row r="124" s="61" customFormat="1" customHeight="1" spans="1:16">
      <c r="A124" s="71">
        <v>119</v>
      </c>
      <c r="B124" s="75"/>
      <c r="C124" s="73" t="s">
        <v>351</v>
      </c>
      <c r="D124" s="74">
        <v>11.354349</v>
      </c>
      <c r="E124" s="74">
        <v>0.3</v>
      </c>
      <c r="F124" s="74">
        <v>0.25</v>
      </c>
      <c r="G124" s="74">
        <v>0.48</v>
      </c>
      <c r="H124" s="74">
        <v>0.46</v>
      </c>
      <c r="I124" s="74">
        <v>0.84</v>
      </c>
      <c r="J124" s="74">
        <f>(13543.49*J5)/10000</f>
        <v>0.2708698</v>
      </c>
      <c r="K124" s="74"/>
      <c r="L124" s="74"/>
      <c r="M124" s="74"/>
      <c r="N124" s="74">
        <f t="shared" si="19"/>
        <v>2.6008698</v>
      </c>
      <c r="O124" s="84">
        <v>2.49867512</v>
      </c>
      <c r="P124" s="84">
        <f t="shared" si="20"/>
        <v>0.10219468</v>
      </c>
    </row>
    <row r="125" s="61" customFormat="1" customHeight="1" spans="1:16">
      <c r="A125" s="71">
        <v>120</v>
      </c>
      <c r="B125" s="75"/>
      <c r="C125" s="73" t="s">
        <v>352</v>
      </c>
      <c r="D125" s="74">
        <v>0.29032</v>
      </c>
      <c r="E125" s="74">
        <f>D125*E5</f>
        <v>0.087096</v>
      </c>
      <c r="F125" s="74"/>
      <c r="G125" s="74"/>
      <c r="H125" s="74"/>
      <c r="I125" s="74"/>
      <c r="J125" s="74"/>
      <c r="K125" s="74"/>
      <c r="L125" s="74"/>
      <c r="M125" s="74"/>
      <c r="N125" s="74">
        <f t="shared" si="19"/>
        <v>0.087096</v>
      </c>
      <c r="O125" s="84">
        <v>0.087096</v>
      </c>
      <c r="P125" s="84">
        <f t="shared" si="20"/>
        <v>0</v>
      </c>
    </row>
    <row r="126" s="61" customFormat="1" customHeight="1" spans="1:16">
      <c r="A126" s="71">
        <v>121</v>
      </c>
      <c r="B126" s="75"/>
      <c r="C126" s="73" t="s">
        <v>353</v>
      </c>
      <c r="D126" s="74">
        <v>1.546634</v>
      </c>
      <c r="E126" s="74">
        <v>0.3</v>
      </c>
      <c r="F126" s="74">
        <f>(5466.34*F5)/10000</f>
        <v>0.1366585</v>
      </c>
      <c r="G126" s="74"/>
      <c r="H126" s="74"/>
      <c r="I126" s="74"/>
      <c r="J126" s="74"/>
      <c r="K126" s="74"/>
      <c r="L126" s="74"/>
      <c r="M126" s="74"/>
      <c r="N126" s="74">
        <f t="shared" si="19"/>
        <v>0.4366585</v>
      </c>
      <c r="O126" s="84">
        <v>0.4640216</v>
      </c>
      <c r="P126" s="84">
        <f t="shared" si="20"/>
        <v>-0.0273631</v>
      </c>
    </row>
    <row r="127" s="61" customFormat="1" customHeight="1" spans="1:16">
      <c r="A127" s="71">
        <v>122</v>
      </c>
      <c r="B127" s="75"/>
      <c r="C127" s="73" t="s">
        <v>354</v>
      </c>
      <c r="D127" s="74">
        <v>6.958027</v>
      </c>
      <c r="E127" s="74">
        <v>0.3</v>
      </c>
      <c r="F127" s="74">
        <v>0.25</v>
      </c>
      <c r="G127" s="74">
        <v>0.48</v>
      </c>
      <c r="H127" s="74">
        <v>0.46</v>
      </c>
      <c r="I127" s="74">
        <f>(9580.27*I5)/10000</f>
        <v>0.20118567</v>
      </c>
      <c r="J127" s="74"/>
      <c r="K127" s="74"/>
      <c r="L127" s="74"/>
      <c r="M127" s="74"/>
      <c r="N127" s="74">
        <f t="shared" si="19"/>
        <v>1.69118567</v>
      </c>
      <c r="O127" s="84">
        <v>1.66988336</v>
      </c>
      <c r="P127" s="84">
        <f t="shared" si="20"/>
        <v>0.0213023099999998</v>
      </c>
    </row>
    <row r="128" s="61" customFormat="1" customHeight="1" spans="1:16">
      <c r="A128" s="71">
        <v>123</v>
      </c>
      <c r="B128" s="75"/>
      <c r="C128" s="73" t="s">
        <v>355</v>
      </c>
      <c r="D128" s="74">
        <v>0.719925</v>
      </c>
      <c r="E128" s="74">
        <f>D128*E5</f>
        <v>0.2159775</v>
      </c>
      <c r="F128" s="74"/>
      <c r="G128" s="74"/>
      <c r="H128" s="74"/>
      <c r="I128" s="74"/>
      <c r="J128" s="74"/>
      <c r="K128" s="74"/>
      <c r="L128" s="74"/>
      <c r="M128" s="74"/>
      <c r="N128" s="74">
        <f t="shared" si="19"/>
        <v>0.2159775</v>
      </c>
      <c r="O128" s="84">
        <v>0.215952</v>
      </c>
      <c r="P128" s="84">
        <f t="shared" si="20"/>
        <v>2.55000000000116e-5</v>
      </c>
    </row>
    <row r="129" s="61" customFormat="1" customHeight="1" spans="1:16">
      <c r="A129" s="71">
        <v>124</v>
      </c>
      <c r="B129" s="75"/>
      <c r="C129" s="73" t="s">
        <v>356</v>
      </c>
      <c r="D129" s="74">
        <v>0.68115</v>
      </c>
      <c r="E129" s="74">
        <f>D129*E5</f>
        <v>0.204345</v>
      </c>
      <c r="F129" s="74"/>
      <c r="G129" s="74"/>
      <c r="H129" s="74"/>
      <c r="I129" s="74"/>
      <c r="J129" s="74"/>
      <c r="K129" s="74"/>
      <c r="L129" s="74"/>
      <c r="M129" s="74"/>
      <c r="N129" s="74">
        <f t="shared" si="19"/>
        <v>0.204345</v>
      </c>
      <c r="O129" s="84">
        <v>0.2043</v>
      </c>
      <c r="P129" s="84">
        <f t="shared" si="20"/>
        <v>4.49999999999895e-5</v>
      </c>
    </row>
    <row r="130" s="61" customFormat="1" customHeight="1" spans="1:16">
      <c r="A130" s="71">
        <v>125</v>
      </c>
      <c r="B130" s="75"/>
      <c r="C130" s="73" t="s">
        <v>357</v>
      </c>
      <c r="D130" s="74">
        <v>0.10184</v>
      </c>
      <c r="E130" s="74">
        <f>D130*E5</f>
        <v>0.030552</v>
      </c>
      <c r="F130" s="74"/>
      <c r="G130" s="74"/>
      <c r="H130" s="74"/>
      <c r="I130" s="74"/>
      <c r="J130" s="74"/>
      <c r="K130" s="74"/>
      <c r="L130" s="74"/>
      <c r="M130" s="74"/>
      <c r="N130" s="74">
        <f t="shared" si="19"/>
        <v>0.030552</v>
      </c>
      <c r="O130" s="84">
        <v>0.0306</v>
      </c>
      <c r="P130" s="84">
        <f t="shared" si="20"/>
        <v>-4.79999999999994e-5</v>
      </c>
    </row>
    <row r="131" s="61" customFormat="1" customHeight="1" spans="1:16">
      <c r="A131" s="71">
        <v>126</v>
      </c>
      <c r="B131" s="75"/>
      <c r="C131" s="73" t="s">
        <v>358</v>
      </c>
      <c r="D131" s="74">
        <v>46.41506</v>
      </c>
      <c r="E131" s="74"/>
      <c r="F131" s="74"/>
      <c r="G131" s="74"/>
      <c r="H131" s="74"/>
      <c r="I131" s="74"/>
      <c r="J131" s="74"/>
      <c r="K131" s="74"/>
      <c r="L131" s="74"/>
      <c r="M131" s="74">
        <v>5</v>
      </c>
      <c r="N131" s="74">
        <f t="shared" si="19"/>
        <v>5</v>
      </c>
      <c r="O131" s="84">
        <v>8.35466136</v>
      </c>
      <c r="P131" s="84">
        <f t="shared" si="20"/>
        <v>-3.35466136</v>
      </c>
    </row>
    <row r="132" s="61" customFormat="1" customHeight="1" spans="1:16">
      <c r="A132" s="71">
        <v>127</v>
      </c>
      <c r="B132" s="75"/>
      <c r="C132" s="73" t="s">
        <v>359</v>
      </c>
      <c r="D132" s="74">
        <v>1.510535</v>
      </c>
      <c r="E132" s="74">
        <v>0.3</v>
      </c>
      <c r="F132" s="74">
        <f>(5105.35*F5)/10000</f>
        <v>0.12763375</v>
      </c>
      <c r="G132" s="74"/>
      <c r="H132" s="74"/>
      <c r="I132" s="74"/>
      <c r="J132" s="74"/>
      <c r="K132" s="74"/>
      <c r="L132" s="74"/>
      <c r="M132" s="74"/>
      <c r="N132" s="74">
        <f t="shared" si="19"/>
        <v>0.42763375</v>
      </c>
      <c r="O132" s="84">
        <v>0.45316</v>
      </c>
      <c r="P132" s="84">
        <f t="shared" si="20"/>
        <v>-0.02552625</v>
      </c>
    </row>
    <row r="133" s="61" customFormat="1" customHeight="1" spans="1:16">
      <c r="A133" s="71">
        <v>128</v>
      </c>
      <c r="B133" s="75"/>
      <c r="C133" s="73" t="s">
        <v>360</v>
      </c>
      <c r="D133" s="74">
        <v>2.687433</v>
      </c>
      <c r="E133" s="74">
        <v>0.3</v>
      </c>
      <c r="F133" s="74">
        <v>0.25</v>
      </c>
      <c r="G133" s="74">
        <f>(6874.33*G5)/10000</f>
        <v>0.16498392</v>
      </c>
      <c r="H133" s="74"/>
      <c r="I133" s="74"/>
      <c r="J133" s="74"/>
      <c r="K133" s="74"/>
      <c r="L133" s="74"/>
      <c r="M133" s="74"/>
      <c r="N133" s="74">
        <f t="shared" si="19"/>
        <v>0.71498392</v>
      </c>
      <c r="O133" s="84">
        <v>0.671849</v>
      </c>
      <c r="P133" s="84">
        <f t="shared" si="20"/>
        <v>0.04313492</v>
      </c>
    </row>
    <row r="134" s="61" customFormat="1" customHeight="1" spans="1:16">
      <c r="A134" s="71">
        <v>129</v>
      </c>
      <c r="B134" s="77"/>
      <c r="C134" s="73" t="s">
        <v>361</v>
      </c>
      <c r="D134" s="74">
        <v>1.525369</v>
      </c>
      <c r="E134" s="74">
        <v>0.3</v>
      </c>
      <c r="F134" s="74">
        <f>(5254.69*F5)/10000</f>
        <v>0.13136725</v>
      </c>
      <c r="G134" s="74"/>
      <c r="H134" s="74"/>
      <c r="I134" s="74"/>
      <c r="J134" s="74"/>
      <c r="K134" s="74"/>
      <c r="L134" s="74"/>
      <c r="M134" s="74"/>
      <c r="N134" s="74">
        <f t="shared" si="19"/>
        <v>0.43136725</v>
      </c>
      <c r="O134" s="84">
        <v>0.457648</v>
      </c>
      <c r="P134" s="84">
        <f t="shared" si="20"/>
        <v>-0.02628075</v>
      </c>
    </row>
    <row r="135" s="61" customFormat="1" customHeight="1" spans="1:16">
      <c r="A135" s="71">
        <v>130</v>
      </c>
      <c r="B135" s="75"/>
      <c r="C135" s="78"/>
      <c r="D135" s="74"/>
      <c r="E135" s="74"/>
      <c r="F135" s="74"/>
      <c r="G135" s="74"/>
      <c r="H135" s="74"/>
      <c r="I135" s="74"/>
      <c r="J135" s="74"/>
      <c r="L135" s="74"/>
      <c r="M135" s="74"/>
      <c r="N135" s="85">
        <f>SUM(N121:N134)</f>
        <v>18.91111053</v>
      </c>
      <c r="O135" s="80"/>
      <c r="P135" s="84"/>
    </row>
    <row r="136" s="61" customFormat="1" customHeight="1" spans="1:16">
      <c r="A136" s="71">
        <v>131</v>
      </c>
      <c r="B136" s="72" t="s">
        <v>185</v>
      </c>
      <c r="C136" s="73" t="s">
        <v>362</v>
      </c>
      <c r="D136" s="74">
        <v>0.20715</v>
      </c>
      <c r="E136" s="74">
        <f>D136*E5</f>
        <v>0.062145</v>
      </c>
      <c r="F136" s="74"/>
      <c r="G136" s="74"/>
      <c r="H136" s="74"/>
      <c r="I136" s="74"/>
      <c r="J136" s="74"/>
      <c r="K136" s="74"/>
      <c r="L136" s="74"/>
      <c r="M136" s="74"/>
      <c r="N136" s="74">
        <f t="shared" ref="N136:N145" si="21">SUM(E136:M136)</f>
        <v>0.062145</v>
      </c>
      <c r="O136" s="86">
        <v>0.062145</v>
      </c>
      <c r="P136" s="84">
        <f t="shared" ref="P136:P145" si="22">N136-O136</f>
        <v>0</v>
      </c>
    </row>
    <row r="137" s="61" customFormat="1" customHeight="1" spans="1:16">
      <c r="A137" s="71">
        <v>132</v>
      </c>
      <c r="B137" s="75"/>
      <c r="C137" s="73" t="s">
        <v>186</v>
      </c>
      <c r="D137" s="74">
        <v>0</v>
      </c>
      <c r="E137" s="74"/>
      <c r="F137" s="74"/>
      <c r="G137" s="74"/>
      <c r="H137" s="74"/>
      <c r="I137" s="74"/>
      <c r="J137" s="74"/>
      <c r="K137" s="74"/>
      <c r="L137" s="74"/>
      <c r="M137" s="74"/>
      <c r="N137" s="74">
        <f t="shared" si="21"/>
        <v>0</v>
      </c>
      <c r="O137" s="80">
        <v>0</v>
      </c>
      <c r="P137" s="84">
        <f t="shared" si="22"/>
        <v>0</v>
      </c>
    </row>
    <row r="138" s="61" customFormat="1" customHeight="1" spans="1:16">
      <c r="A138" s="71">
        <v>133</v>
      </c>
      <c r="B138" s="75"/>
      <c r="C138" s="73" t="s">
        <v>187</v>
      </c>
      <c r="D138" s="74">
        <v>0</v>
      </c>
      <c r="E138" s="74"/>
      <c r="F138" s="74"/>
      <c r="G138" s="74"/>
      <c r="H138" s="74"/>
      <c r="I138" s="74"/>
      <c r="J138" s="74"/>
      <c r="K138" s="74"/>
      <c r="L138" s="74"/>
      <c r="M138" s="74"/>
      <c r="N138" s="74">
        <f t="shared" si="21"/>
        <v>0</v>
      </c>
      <c r="O138" s="80">
        <v>0</v>
      </c>
      <c r="P138" s="84">
        <f t="shared" si="22"/>
        <v>0</v>
      </c>
    </row>
    <row r="139" s="61" customFormat="1" customHeight="1" spans="1:16">
      <c r="A139" s="71">
        <v>134</v>
      </c>
      <c r="B139" s="75"/>
      <c r="C139" s="73" t="s">
        <v>188</v>
      </c>
      <c r="D139" s="74">
        <v>0</v>
      </c>
      <c r="E139" s="74"/>
      <c r="F139" s="74"/>
      <c r="G139" s="74"/>
      <c r="H139" s="74"/>
      <c r="I139" s="74"/>
      <c r="J139" s="74"/>
      <c r="K139" s="74"/>
      <c r="L139" s="74"/>
      <c r="M139" s="74"/>
      <c r="N139" s="74">
        <f t="shared" si="21"/>
        <v>0</v>
      </c>
      <c r="O139" s="80">
        <v>0</v>
      </c>
      <c r="P139" s="84">
        <f t="shared" si="22"/>
        <v>0</v>
      </c>
    </row>
    <row r="140" s="61" customFormat="1" customHeight="1" spans="1:16">
      <c r="A140" s="71">
        <v>135</v>
      </c>
      <c r="B140" s="75"/>
      <c r="C140" s="73" t="s">
        <v>189</v>
      </c>
      <c r="D140" s="74">
        <v>0</v>
      </c>
      <c r="E140" s="74"/>
      <c r="F140" s="74"/>
      <c r="G140" s="74"/>
      <c r="H140" s="74"/>
      <c r="I140" s="74"/>
      <c r="J140" s="74"/>
      <c r="K140" s="74"/>
      <c r="L140" s="74"/>
      <c r="M140" s="74"/>
      <c r="N140" s="74">
        <f t="shared" si="21"/>
        <v>0</v>
      </c>
      <c r="O140" s="80">
        <v>0</v>
      </c>
      <c r="P140" s="84">
        <f t="shared" si="22"/>
        <v>0</v>
      </c>
    </row>
    <row r="141" s="61" customFormat="1" customHeight="1" spans="1:16">
      <c r="A141" s="71">
        <v>136</v>
      </c>
      <c r="B141" s="75"/>
      <c r="C141" s="73" t="s">
        <v>190</v>
      </c>
      <c r="D141" s="74">
        <v>0</v>
      </c>
      <c r="E141" s="74"/>
      <c r="F141" s="74"/>
      <c r="G141" s="74"/>
      <c r="H141" s="74"/>
      <c r="I141" s="74"/>
      <c r="J141" s="74"/>
      <c r="K141" s="74"/>
      <c r="L141" s="74"/>
      <c r="M141" s="74"/>
      <c r="N141" s="74">
        <f t="shared" si="21"/>
        <v>0</v>
      </c>
      <c r="O141" s="80">
        <v>0</v>
      </c>
      <c r="P141" s="84">
        <f t="shared" si="22"/>
        <v>0</v>
      </c>
    </row>
    <row r="142" s="61" customFormat="1" customHeight="1" spans="1:16">
      <c r="A142" s="71">
        <v>137</v>
      </c>
      <c r="B142" s="75"/>
      <c r="C142" s="73" t="s">
        <v>191</v>
      </c>
      <c r="D142" s="74">
        <v>0</v>
      </c>
      <c r="E142" s="74"/>
      <c r="F142" s="74"/>
      <c r="G142" s="74"/>
      <c r="H142" s="74"/>
      <c r="I142" s="74"/>
      <c r="J142" s="74"/>
      <c r="K142" s="74"/>
      <c r="L142" s="74"/>
      <c r="M142" s="74"/>
      <c r="N142" s="74">
        <f t="shared" si="21"/>
        <v>0</v>
      </c>
      <c r="O142" s="80">
        <v>0</v>
      </c>
      <c r="P142" s="84">
        <f t="shared" si="22"/>
        <v>0</v>
      </c>
    </row>
    <row r="143" s="61" customFormat="1" customHeight="1" spans="1:16">
      <c r="A143" s="71">
        <v>138</v>
      </c>
      <c r="B143" s="75"/>
      <c r="C143" s="73" t="s">
        <v>192</v>
      </c>
      <c r="D143" s="74">
        <v>0</v>
      </c>
      <c r="E143" s="74"/>
      <c r="F143" s="74"/>
      <c r="G143" s="74"/>
      <c r="H143" s="74"/>
      <c r="I143" s="74"/>
      <c r="J143" s="74"/>
      <c r="K143" s="74"/>
      <c r="L143" s="74"/>
      <c r="M143" s="74"/>
      <c r="N143" s="74">
        <f t="shared" si="21"/>
        <v>0</v>
      </c>
      <c r="O143" s="80">
        <v>0</v>
      </c>
      <c r="P143" s="84">
        <f t="shared" si="22"/>
        <v>0</v>
      </c>
    </row>
    <row r="144" s="61" customFormat="1" customHeight="1" spans="1:16">
      <c r="A144" s="71">
        <v>139</v>
      </c>
      <c r="B144" s="75"/>
      <c r="C144" s="73" t="s">
        <v>193</v>
      </c>
      <c r="D144" s="74">
        <v>0</v>
      </c>
      <c r="E144" s="74"/>
      <c r="F144" s="74"/>
      <c r="G144" s="74"/>
      <c r="H144" s="74"/>
      <c r="I144" s="74"/>
      <c r="J144" s="74"/>
      <c r="K144" s="74"/>
      <c r="L144" s="74"/>
      <c r="M144" s="74"/>
      <c r="N144" s="74">
        <f t="shared" si="21"/>
        <v>0</v>
      </c>
      <c r="O144" s="80">
        <v>0</v>
      </c>
      <c r="P144" s="84">
        <f t="shared" si="22"/>
        <v>0</v>
      </c>
    </row>
    <row r="145" s="61" customFormat="1" customHeight="1" spans="1:16">
      <c r="A145" s="71">
        <v>140</v>
      </c>
      <c r="B145" s="77"/>
      <c r="C145" s="73" t="s">
        <v>363</v>
      </c>
      <c r="D145" s="74">
        <v>0.61208</v>
      </c>
      <c r="E145" s="74">
        <f>D145*E5</f>
        <v>0.183624</v>
      </c>
      <c r="F145" s="74"/>
      <c r="G145" s="74"/>
      <c r="H145" s="74"/>
      <c r="I145" s="74"/>
      <c r="J145" s="74"/>
      <c r="K145" s="74"/>
      <c r="L145" s="74"/>
      <c r="M145" s="74"/>
      <c r="N145" s="74">
        <f t="shared" si="21"/>
        <v>0.183624</v>
      </c>
      <c r="O145" s="86">
        <v>0.1836415</v>
      </c>
      <c r="P145" s="84">
        <f t="shared" si="22"/>
        <v>-1.74999999999759e-5</v>
      </c>
    </row>
    <row r="146" s="61" customFormat="1" customHeight="1" spans="1:16">
      <c r="A146" s="71">
        <v>141</v>
      </c>
      <c r="B146" s="75"/>
      <c r="C146" s="78"/>
      <c r="D146" s="74"/>
      <c r="E146" s="74"/>
      <c r="F146" s="74"/>
      <c r="G146" s="74"/>
      <c r="H146" s="74"/>
      <c r="J146" s="74"/>
      <c r="K146" s="74"/>
      <c r="M146" s="74"/>
      <c r="N146" s="85">
        <f>SUM(N136:N145)</f>
        <v>0.245769</v>
      </c>
      <c r="O146" s="80"/>
      <c r="P146" s="84"/>
    </row>
    <row r="147" s="61" customFormat="1" customHeight="1" spans="1:16">
      <c r="A147" s="71">
        <v>142</v>
      </c>
      <c r="B147" s="72" t="s">
        <v>364</v>
      </c>
      <c r="C147" s="73" t="s">
        <v>365</v>
      </c>
      <c r="D147" s="74">
        <v>38.493737</v>
      </c>
      <c r="E147" s="74"/>
      <c r="F147" s="74"/>
      <c r="G147" s="74"/>
      <c r="H147" s="74"/>
      <c r="I147" s="74"/>
      <c r="J147" s="74"/>
      <c r="K147" s="74"/>
      <c r="L147" s="74"/>
      <c r="M147" s="74">
        <v>5</v>
      </c>
      <c r="N147" s="74">
        <f t="shared" ref="N147:N150" si="23">SUM(E147:M147)</f>
        <v>5</v>
      </c>
      <c r="O147" s="84">
        <v>7.22008238</v>
      </c>
      <c r="P147" s="84">
        <f t="shared" ref="P147:P150" si="24">N147-O147</f>
        <v>-2.22008238</v>
      </c>
    </row>
    <row r="148" s="61" customFormat="1" customHeight="1" spans="1:16">
      <c r="A148" s="71">
        <v>143</v>
      </c>
      <c r="B148" s="75"/>
      <c r="C148" s="73" t="s">
        <v>366</v>
      </c>
      <c r="D148" s="74">
        <v>8.804441</v>
      </c>
      <c r="E148" s="74">
        <v>0.3</v>
      </c>
      <c r="F148" s="74">
        <v>0.25</v>
      </c>
      <c r="G148" s="74">
        <v>0.48</v>
      </c>
      <c r="H148" s="74">
        <v>0.46</v>
      </c>
      <c r="I148" s="74">
        <f>(28044.41*I5)/10000</f>
        <v>0.58893261</v>
      </c>
      <c r="J148" s="74"/>
      <c r="K148" s="74"/>
      <c r="L148" s="74"/>
      <c r="M148" s="74"/>
      <c r="N148" s="74">
        <f t="shared" si="23"/>
        <v>2.07893261</v>
      </c>
      <c r="O148" s="84">
        <v>2.0643072</v>
      </c>
      <c r="P148" s="84">
        <f t="shared" si="24"/>
        <v>0.0146254099999998</v>
      </c>
    </row>
    <row r="149" s="61" customFormat="1" customHeight="1" spans="1:16">
      <c r="A149" s="71">
        <v>144</v>
      </c>
      <c r="B149" s="75"/>
      <c r="C149" s="73" t="s">
        <v>367</v>
      </c>
      <c r="D149" s="74">
        <v>2.79892</v>
      </c>
      <c r="E149" s="74">
        <v>0.3</v>
      </c>
      <c r="F149" s="74">
        <v>0.25</v>
      </c>
      <c r="G149" s="74">
        <f>(7989.2*G5)/10000</f>
        <v>0.1917408</v>
      </c>
      <c r="H149" s="74"/>
      <c r="I149" s="74"/>
      <c r="J149" s="74"/>
      <c r="K149" s="74"/>
      <c r="L149" s="74"/>
      <c r="M149" s="74"/>
      <c r="N149" s="74">
        <f t="shared" si="23"/>
        <v>0.7417408</v>
      </c>
      <c r="O149" s="84">
        <v>0.699708</v>
      </c>
      <c r="P149" s="84">
        <f t="shared" si="24"/>
        <v>0.0420328000000001</v>
      </c>
    </row>
    <row r="150" s="61" customFormat="1" customHeight="1" spans="1:16">
      <c r="A150" s="71">
        <v>145</v>
      </c>
      <c r="B150" s="77"/>
      <c r="C150" s="73" t="s">
        <v>368</v>
      </c>
      <c r="D150" s="74">
        <v>1.606688</v>
      </c>
      <c r="E150" s="74">
        <v>0.3</v>
      </c>
      <c r="F150" s="74">
        <f>(6066.88*F5)/10000</f>
        <v>0.151672</v>
      </c>
      <c r="G150" s="74"/>
      <c r="H150" s="74"/>
      <c r="I150" s="74"/>
      <c r="J150" s="74"/>
      <c r="K150" s="74"/>
      <c r="L150" s="74"/>
      <c r="M150" s="74"/>
      <c r="N150" s="74">
        <f t="shared" si="23"/>
        <v>0.451672</v>
      </c>
      <c r="O150" s="84">
        <v>0.429309</v>
      </c>
      <c r="P150" s="84">
        <f t="shared" si="24"/>
        <v>0.022363</v>
      </c>
    </row>
    <row r="151" s="61" customFormat="1" customHeight="1" spans="1:16">
      <c r="A151" s="71">
        <v>146</v>
      </c>
      <c r="B151" s="75"/>
      <c r="C151" s="78"/>
      <c r="D151" s="74"/>
      <c r="E151" s="74"/>
      <c r="F151" s="74"/>
      <c r="G151" s="74"/>
      <c r="H151" s="74"/>
      <c r="I151" s="74"/>
      <c r="J151" s="74"/>
      <c r="K151" s="74"/>
      <c r="L151" s="74"/>
      <c r="M151" s="74"/>
      <c r="N151" s="85">
        <f>SUM(N147:N150)</f>
        <v>8.27234541</v>
      </c>
      <c r="O151" s="80"/>
      <c r="P151" s="84"/>
    </row>
    <row r="152" s="61" customFormat="1" customHeight="1" spans="1:16">
      <c r="A152" s="71">
        <v>147</v>
      </c>
      <c r="B152" s="72" t="s">
        <v>151</v>
      </c>
      <c r="C152" s="73" t="s">
        <v>369</v>
      </c>
      <c r="D152" s="74">
        <v>18.873251</v>
      </c>
      <c r="E152" s="74">
        <v>0.3</v>
      </c>
      <c r="F152" s="74">
        <v>0.25</v>
      </c>
      <c r="G152" s="74">
        <v>0.48</v>
      </c>
      <c r="H152" s="74">
        <v>0.46</v>
      </c>
      <c r="I152" s="74">
        <v>0.84</v>
      </c>
      <c r="J152" s="74">
        <v>1</v>
      </c>
      <c r="K152" s="74">
        <f>(38732.51*K5)/10000</f>
        <v>0.73591769</v>
      </c>
      <c r="L152" s="74"/>
      <c r="M152" s="74"/>
      <c r="N152" s="74">
        <f t="shared" ref="N152:N162" si="25">SUM(E152:M152)</f>
        <v>4.06591769</v>
      </c>
      <c r="O152" s="84">
        <v>3.96339805</v>
      </c>
      <c r="P152" s="84">
        <f t="shared" ref="P152:P162" si="26">N152-O152</f>
        <v>0.10251964</v>
      </c>
    </row>
    <row r="153" s="61" customFormat="1" customHeight="1" spans="1:16">
      <c r="A153" s="71">
        <v>148</v>
      </c>
      <c r="B153" s="75"/>
      <c r="C153" s="73" t="s">
        <v>370</v>
      </c>
      <c r="D153" s="74">
        <v>10.609214</v>
      </c>
      <c r="E153" s="74">
        <v>0.3</v>
      </c>
      <c r="F153" s="74">
        <v>0.25</v>
      </c>
      <c r="G153" s="74">
        <v>0.48</v>
      </c>
      <c r="H153" s="74">
        <v>0.46</v>
      </c>
      <c r="I153" s="74">
        <v>0.84</v>
      </c>
      <c r="J153" s="74">
        <f>(6092.14*J5)/10000</f>
        <v>0.1218428</v>
      </c>
      <c r="K153" s="74"/>
      <c r="L153" s="74"/>
      <c r="M153" s="74"/>
      <c r="N153" s="74">
        <f t="shared" si="25"/>
        <v>2.4518428</v>
      </c>
      <c r="O153" s="84">
        <v>2.44011617</v>
      </c>
      <c r="P153" s="84">
        <f t="shared" si="26"/>
        <v>0.0117266300000001</v>
      </c>
    </row>
    <row r="154" s="61" customFormat="1" customHeight="1" spans="1:16">
      <c r="A154" s="71">
        <v>149</v>
      </c>
      <c r="B154" s="75"/>
      <c r="C154" s="73" t="s">
        <v>371</v>
      </c>
      <c r="D154" s="74">
        <v>5.806778</v>
      </c>
      <c r="E154" s="74">
        <v>0.3</v>
      </c>
      <c r="F154" s="74">
        <v>0.25</v>
      </c>
      <c r="G154" s="74">
        <v>0.48</v>
      </c>
      <c r="H154" s="74">
        <f>(18067.78*H5)/10000</f>
        <v>0.41555894</v>
      </c>
      <c r="I154" s="74"/>
      <c r="J154" s="74"/>
      <c r="K154" s="74"/>
      <c r="L154" s="74"/>
      <c r="M154" s="74"/>
      <c r="N154" s="74">
        <f t="shared" si="25"/>
        <v>1.44555894</v>
      </c>
      <c r="O154" s="84">
        <v>1.39366576</v>
      </c>
      <c r="P154" s="84">
        <f t="shared" si="26"/>
        <v>0.05189318</v>
      </c>
    </row>
    <row r="155" s="61" customFormat="1" customHeight="1" spans="1:16">
      <c r="A155" s="71">
        <v>150</v>
      </c>
      <c r="B155" s="75"/>
      <c r="C155" s="73" t="s">
        <v>372</v>
      </c>
      <c r="D155" s="74">
        <v>0.715212</v>
      </c>
      <c r="E155" s="74">
        <f>D155*E5</f>
        <v>0.2145636</v>
      </c>
      <c r="F155" s="74"/>
      <c r="G155" s="74"/>
      <c r="H155" s="74"/>
      <c r="I155" s="74"/>
      <c r="J155" s="74"/>
      <c r="K155" s="74"/>
      <c r="L155" s="74"/>
      <c r="M155" s="74"/>
      <c r="N155" s="74">
        <f t="shared" si="25"/>
        <v>0.2145636</v>
      </c>
      <c r="O155" s="84">
        <v>0.214601</v>
      </c>
      <c r="P155" s="84">
        <f t="shared" si="26"/>
        <v>-3.74000000000207e-5</v>
      </c>
    </row>
    <row r="156" s="61" customFormat="1" customHeight="1" spans="1:16">
      <c r="A156" s="71">
        <v>151</v>
      </c>
      <c r="B156" s="75"/>
      <c r="C156" s="73" t="s">
        <v>152</v>
      </c>
      <c r="D156" s="74">
        <v>0.38492</v>
      </c>
      <c r="E156" s="74">
        <f>D156*E5</f>
        <v>0.115476</v>
      </c>
      <c r="F156" s="74"/>
      <c r="G156" s="74"/>
      <c r="H156" s="74"/>
      <c r="I156" s="74"/>
      <c r="J156" s="74"/>
      <c r="K156" s="74"/>
      <c r="L156" s="74"/>
      <c r="M156" s="74"/>
      <c r="N156" s="74">
        <f t="shared" si="25"/>
        <v>0.115476</v>
      </c>
      <c r="O156" s="84">
        <v>0.1155</v>
      </c>
      <c r="P156" s="84">
        <f t="shared" si="26"/>
        <v>-2.40000000000101e-5</v>
      </c>
    </row>
    <row r="157" s="61" customFormat="1" customHeight="1" spans="1:16">
      <c r="A157" s="71">
        <v>152</v>
      </c>
      <c r="B157" s="75"/>
      <c r="C157" s="73" t="s">
        <v>373</v>
      </c>
      <c r="D157" s="74">
        <v>13.851984</v>
      </c>
      <c r="E157" s="74">
        <v>0.3</v>
      </c>
      <c r="F157" s="74">
        <v>0.25</v>
      </c>
      <c r="G157" s="74">
        <v>0.48</v>
      </c>
      <c r="H157" s="74">
        <v>0.46</v>
      </c>
      <c r="I157" s="74">
        <v>0.84</v>
      </c>
      <c r="J157" s="74">
        <f>(38519.84*J5)/10000</f>
        <v>0.7703968</v>
      </c>
      <c r="K157" s="74"/>
      <c r="L157" s="74"/>
      <c r="M157" s="74"/>
      <c r="N157" s="74">
        <f t="shared" si="25"/>
        <v>3.1003968</v>
      </c>
      <c r="O157" s="84">
        <v>3.0112804</v>
      </c>
      <c r="P157" s="84">
        <f t="shared" si="26"/>
        <v>0.0891164</v>
      </c>
    </row>
    <row r="158" s="61" customFormat="1" customHeight="1" spans="1:16">
      <c r="A158" s="71">
        <v>153</v>
      </c>
      <c r="B158" s="75"/>
      <c r="C158" s="73" t="s">
        <v>153</v>
      </c>
      <c r="D158" s="74">
        <v>6.014173</v>
      </c>
      <c r="E158" s="74">
        <v>0.3</v>
      </c>
      <c r="F158" s="74">
        <v>0.25</v>
      </c>
      <c r="G158" s="74">
        <v>0.48</v>
      </c>
      <c r="H158" s="74">
        <v>0.46</v>
      </c>
      <c r="I158" s="76">
        <f>(141.73*I5)/10000</f>
        <v>0.00297633</v>
      </c>
      <c r="J158" s="74"/>
      <c r="K158" s="74"/>
      <c r="L158" s="74"/>
      <c r="M158" s="74"/>
      <c r="N158" s="74">
        <f t="shared" si="25"/>
        <v>1.49297633</v>
      </c>
      <c r="O158" s="84">
        <v>1.263</v>
      </c>
      <c r="P158" s="84">
        <f t="shared" si="26"/>
        <v>0.22997633</v>
      </c>
    </row>
    <row r="159" s="61" customFormat="1" customHeight="1" spans="1:16">
      <c r="A159" s="71">
        <v>154</v>
      </c>
      <c r="B159" s="75"/>
      <c r="C159" s="73" t="s">
        <v>374</v>
      </c>
      <c r="D159" s="74">
        <v>14.129121</v>
      </c>
      <c r="E159" s="74">
        <v>0.3</v>
      </c>
      <c r="F159" s="74">
        <v>0.25</v>
      </c>
      <c r="G159" s="74">
        <v>0.48</v>
      </c>
      <c r="H159" s="74">
        <v>0.46</v>
      </c>
      <c r="I159" s="74">
        <v>0.84</v>
      </c>
      <c r="J159" s="74">
        <f>(41291.21*J5)/10000</f>
        <v>0.8258242</v>
      </c>
      <c r="K159" s="74"/>
      <c r="L159" s="74"/>
      <c r="M159" s="74"/>
      <c r="N159" s="74">
        <f t="shared" si="25"/>
        <v>3.1558242</v>
      </c>
      <c r="O159" s="84">
        <v>2.96713904</v>
      </c>
      <c r="P159" s="84">
        <f t="shared" si="26"/>
        <v>0.18868516</v>
      </c>
    </row>
    <row r="160" s="61" customFormat="1" customHeight="1" spans="1:16">
      <c r="A160" s="71">
        <v>155</v>
      </c>
      <c r="B160" s="75"/>
      <c r="C160" s="73" t="s">
        <v>154</v>
      </c>
      <c r="D160" s="74">
        <v>0.17399</v>
      </c>
      <c r="E160" s="74">
        <f>D160*E5</f>
        <v>0.052197</v>
      </c>
      <c r="F160" s="74"/>
      <c r="G160" s="74"/>
      <c r="H160" s="74"/>
      <c r="I160" s="74"/>
      <c r="J160" s="74"/>
      <c r="K160" s="74"/>
      <c r="L160" s="74"/>
      <c r="M160" s="74"/>
      <c r="N160" s="74">
        <f t="shared" si="25"/>
        <v>0.052197</v>
      </c>
      <c r="O160" s="84">
        <v>0.0522</v>
      </c>
      <c r="P160" s="84">
        <f t="shared" si="26"/>
        <v>-3.000000000003e-6</v>
      </c>
    </row>
    <row r="161" s="61" customFormat="1" customHeight="1" spans="1:16">
      <c r="A161" s="71">
        <v>156</v>
      </c>
      <c r="B161" s="75"/>
      <c r="C161" s="73" t="s">
        <v>375</v>
      </c>
      <c r="D161" s="74">
        <v>2.786635</v>
      </c>
      <c r="E161" s="74">
        <v>0.3</v>
      </c>
      <c r="F161" s="74">
        <v>0.25</v>
      </c>
      <c r="G161" s="74">
        <f>(7866.35*G5)/10000</f>
        <v>0.1887924</v>
      </c>
      <c r="H161" s="74"/>
      <c r="I161" s="74"/>
      <c r="J161" s="74"/>
      <c r="K161" s="74"/>
      <c r="L161" s="74"/>
      <c r="M161" s="74"/>
      <c r="N161" s="74">
        <f t="shared" si="25"/>
        <v>0.7387924</v>
      </c>
      <c r="O161" s="84">
        <v>0.6966865</v>
      </c>
      <c r="P161" s="84">
        <f t="shared" si="26"/>
        <v>0.0421059</v>
      </c>
    </row>
    <row r="162" s="61" customFormat="1" customHeight="1" spans="1:16">
      <c r="A162" s="71">
        <v>157</v>
      </c>
      <c r="B162" s="77"/>
      <c r="C162" s="73" t="s">
        <v>376</v>
      </c>
      <c r="D162" s="74">
        <v>3.25608</v>
      </c>
      <c r="E162" s="74">
        <v>0.3</v>
      </c>
      <c r="F162" s="74">
        <v>0.25</v>
      </c>
      <c r="G162" s="74">
        <f>(12560.8*G5)/10000</f>
        <v>0.3014592</v>
      </c>
      <c r="H162" s="74"/>
      <c r="I162" s="74"/>
      <c r="J162" s="74"/>
      <c r="K162" s="74"/>
      <c r="L162" s="74"/>
      <c r="M162" s="74"/>
      <c r="N162" s="74">
        <f t="shared" si="25"/>
        <v>0.8514592</v>
      </c>
      <c r="O162" s="84">
        <v>0.793672</v>
      </c>
      <c r="P162" s="84">
        <f t="shared" si="26"/>
        <v>0.0577872</v>
      </c>
    </row>
    <row r="163" s="61" customFormat="1" customHeight="1" spans="1:16">
      <c r="A163" s="71">
        <v>158</v>
      </c>
      <c r="B163" s="75"/>
      <c r="C163" s="78"/>
      <c r="D163" s="74"/>
      <c r="E163" s="74"/>
      <c r="F163" s="74"/>
      <c r="G163" s="74"/>
      <c r="H163" s="74"/>
      <c r="I163" s="74"/>
      <c r="J163" s="74"/>
      <c r="L163" s="74"/>
      <c r="M163" s="74"/>
      <c r="N163" s="85">
        <f>SUM(N152:N162)</f>
        <v>17.68500496</v>
      </c>
      <c r="O163" s="80"/>
      <c r="P163" s="84"/>
    </row>
    <row r="164" s="61" customFormat="1" customHeight="1" spans="1:16">
      <c r="A164" s="71">
        <v>159</v>
      </c>
      <c r="B164" s="72" t="s">
        <v>377</v>
      </c>
      <c r="C164" s="73" t="s">
        <v>378</v>
      </c>
      <c r="D164" s="74">
        <v>1.43827</v>
      </c>
      <c r="E164" s="74">
        <v>0.3</v>
      </c>
      <c r="F164" s="74">
        <f>(4382.7*F5)/10000</f>
        <v>0.1095675</v>
      </c>
      <c r="G164" s="74"/>
      <c r="H164" s="74"/>
      <c r="I164" s="74"/>
      <c r="J164" s="74"/>
      <c r="K164" s="74"/>
      <c r="L164" s="74"/>
      <c r="M164" s="74"/>
      <c r="N164" s="74">
        <f t="shared" ref="N164:N172" si="27">SUM(E164:M164)</f>
        <v>0.4095675</v>
      </c>
      <c r="O164" s="84">
        <v>0.431526</v>
      </c>
      <c r="P164" s="84">
        <f t="shared" ref="P164:P172" si="28">N164-O164</f>
        <v>-0.0219585</v>
      </c>
    </row>
    <row r="165" s="61" customFormat="1" customHeight="1" spans="1:16">
      <c r="A165" s="71">
        <v>160</v>
      </c>
      <c r="B165" s="75"/>
      <c r="C165" s="73" t="s">
        <v>379</v>
      </c>
      <c r="D165" s="74">
        <v>1.067529</v>
      </c>
      <c r="E165" s="74">
        <v>0.3</v>
      </c>
      <c r="F165" s="74">
        <f>(675.29*F5)/10000</f>
        <v>0.01688225</v>
      </c>
      <c r="G165" s="74"/>
      <c r="H165" s="74"/>
      <c r="I165" s="74"/>
      <c r="J165" s="74"/>
      <c r="K165" s="74"/>
      <c r="L165" s="74"/>
      <c r="M165" s="74"/>
      <c r="N165" s="74">
        <f t="shared" si="27"/>
        <v>0.31688225</v>
      </c>
      <c r="O165" s="84">
        <v>0.320297</v>
      </c>
      <c r="P165" s="84">
        <f t="shared" si="28"/>
        <v>-0.00341475000000002</v>
      </c>
    </row>
    <row r="166" s="61" customFormat="1" customHeight="1" spans="1:16">
      <c r="A166" s="71">
        <v>161</v>
      </c>
      <c r="B166" s="75"/>
      <c r="C166" s="73" t="s">
        <v>380</v>
      </c>
      <c r="D166" s="74">
        <v>0.303683</v>
      </c>
      <c r="E166" s="74">
        <f>D166*E5</f>
        <v>0.0911049</v>
      </c>
      <c r="F166" s="74"/>
      <c r="G166" s="74"/>
      <c r="H166" s="74"/>
      <c r="I166" s="74"/>
      <c r="J166" s="74"/>
      <c r="K166" s="74"/>
      <c r="L166" s="74"/>
      <c r="M166" s="74"/>
      <c r="N166" s="74">
        <f t="shared" si="27"/>
        <v>0.0911049</v>
      </c>
      <c r="O166" s="84">
        <v>0.09107</v>
      </c>
      <c r="P166" s="84">
        <f t="shared" si="28"/>
        <v>3.48999999999905e-5</v>
      </c>
    </row>
    <row r="167" s="61" customFormat="1" customHeight="1" spans="1:16">
      <c r="A167" s="71">
        <v>162</v>
      </c>
      <c r="B167" s="75"/>
      <c r="C167" s="73" t="s">
        <v>381</v>
      </c>
      <c r="D167" s="74">
        <v>4.670807</v>
      </c>
      <c r="E167" s="74">
        <v>0.3</v>
      </c>
      <c r="F167" s="74">
        <v>0.25</v>
      </c>
      <c r="G167" s="74">
        <v>0.48</v>
      </c>
      <c r="H167" s="74">
        <f>(6708.07*H5)/10000</f>
        <v>0.15428561</v>
      </c>
      <c r="I167" s="74"/>
      <c r="J167" s="74"/>
      <c r="K167" s="74"/>
      <c r="L167" s="74"/>
      <c r="M167" s="74"/>
      <c r="N167" s="74">
        <f t="shared" si="27"/>
        <v>1.18428561</v>
      </c>
      <c r="O167" s="84">
        <v>1.120995</v>
      </c>
      <c r="P167" s="84">
        <f t="shared" si="28"/>
        <v>0.0632906100000001</v>
      </c>
    </row>
    <row r="168" s="61" customFormat="1" customHeight="1" spans="1:16">
      <c r="A168" s="71">
        <v>163</v>
      </c>
      <c r="B168" s="75"/>
      <c r="C168" s="73" t="s">
        <v>382</v>
      </c>
      <c r="D168" s="74">
        <v>1.390797</v>
      </c>
      <c r="E168" s="74">
        <v>0.3</v>
      </c>
      <c r="F168" s="74">
        <f>(3907.97*F5)/10000</f>
        <v>0.09769925</v>
      </c>
      <c r="G168" s="74"/>
      <c r="H168" s="74"/>
      <c r="I168" s="74"/>
      <c r="J168" s="74"/>
      <c r="K168" s="74"/>
      <c r="L168" s="74"/>
      <c r="M168" s="74"/>
      <c r="N168" s="74">
        <f t="shared" si="27"/>
        <v>0.39769925</v>
      </c>
      <c r="O168" s="84">
        <v>0.361471</v>
      </c>
      <c r="P168" s="84">
        <f t="shared" si="28"/>
        <v>0.03622825</v>
      </c>
    </row>
    <row r="169" s="61" customFormat="1" customHeight="1" spans="1:16">
      <c r="A169" s="71">
        <v>164</v>
      </c>
      <c r="B169" s="75"/>
      <c r="C169" s="73" t="s">
        <v>383</v>
      </c>
      <c r="D169" s="74">
        <v>1.682145</v>
      </c>
      <c r="E169" s="74">
        <v>0.3</v>
      </c>
      <c r="F169" s="74">
        <f>(6821.45*F5)/10000</f>
        <v>0.17053625</v>
      </c>
      <c r="G169" s="74"/>
      <c r="H169" s="74"/>
      <c r="I169" s="74"/>
      <c r="J169" s="74"/>
      <c r="K169" s="74"/>
      <c r="L169" s="74"/>
      <c r="M169" s="74"/>
      <c r="N169" s="74">
        <f t="shared" si="27"/>
        <v>0.47053625</v>
      </c>
      <c r="O169" s="84">
        <v>0.449741</v>
      </c>
      <c r="P169" s="84">
        <f t="shared" si="28"/>
        <v>0.02079525</v>
      </c>
    </row>
    <row r="170" s="61" customFormat="1" customHeight="1" spans="1:16">
      <c r="A170" s="71">
        <v>165</v>
      </c>
      <c r="B170" s="75"/>
      <c r="C170" s="73" t="s">
        <v>384</v>
      </c>
      <c r="D170" s="74">
        <v>0.749028</v>
      </c>
      <c r="E170" s="74">
        <f>D170*E5</f>
        <v>0.2247084</v>
      </c>
      <c r="F170" s="74"/>
      <c r="G170" s="74"/>
      <c r="H170" s="74"/>
      <c r="I170" s="74"/>
      <c r="J170" s="74"/>
      <c r="K170" s="74"/>
      <c r="L170" s="74"/>
      <c r="M170" s="74"/>
      <c r="N170" s="74">
        <f t="shared" si="27"/>
        <v>0.2247084</v>
      </c>
      <c r="O170" s="84">
        <v>0.224717</v>
      </c>
      <c r="P170" s="84">
        <f t="shared" si="28"/>
        <v>-8.5999999999975e-6</v>
      </c>
    </row>
    <row r="171" s="61" customFormat="1" customHeight="1" spans="1:16">
      <c r="A171" s="71">
        <v>166</v>
      </c>
      <c r="B171" s="75"/>
      <c r="C171" s="73" t="s">
        <v>385</v>
      </c>
      <c r="D171" s="74">
        <v>0.592468</v>
      </c>
      <c r="E171" s="74">
        <f>D171*E5</f>
        <v>0.1777404</v>
      </c>
      <c r="F171" s="74"/>
      <c r="G171" s="74"/>
      <c r="H171" s="74"/>
      <c r="I171" s="74"/>
      <c r="J171" s="74"/>
      <c r="K171" s="74"/>
      <c r="L171" s="74"/>
      <c r="M171" s="74"/>
      <c r="N171" s="74">
        <f t="shared" si="27"/>
        <v>0.1777404</v>
      </c>
      <c r="O171" s="84">
        <v>0.177764</v>
      </c>
      <c r="P171" s="84">
        <f t="shared" si="28"/>
        <v>-2.36000000000125e-5</v>
      </c>
    </row>
    <row r="172" s="61" customFormat="1" customHeight="1" spans="1:16">
      <c r="A172" s="71">
        <v>167</v>
      </c>
      <c r="B172" s="77"/>
      <c r="C172" s="73" t="s">
        <v>386</v>
      </c>
      <c r="D172" s="74">
        <v>0.129015</v>
      </c>
      <c r="E172" s="74">
        <f>D172*E5</f>
        <v>0.0387045</v>
      </c>
      <c r="F172" s="74"/>
      <c r="G172" s="74"/>
      <c r="H172" s="74"/>
      <c r="I172" s="74"/>
      <c r="J172" s="74"/>
      <c r="K172" s="74"/>
      <c r="L172" s="74"/>
      <c r="M172" s="74"/>
      <c r="N172" s="74">
        <f t="shared" si="27"/>
        <v>0.0387045</v>
      </c>
      <c r="O172" s="84">
        <v>0.038678</v>
      </c>
      <c r="P172" s="84">
        <f t="shared" si="28"/>
        <v>2.65000000000057e-5</v>
      </c>
    </row>
    <row r="173" s="61" customFormat="1" customHeight="1" spans="1:16">
      <c r="A173" s="71">
        <v>168</v>
      </c>
      <c r="B173" s="75"/>
      <c r="C173" s="78"/>
      <c r="D173" s="74"/>
      <c r="E173" s="74"/>
      <c r="F173" s="74"/>
      <c r="G173" s="74"/>
      <c r="H173" s="74"/>
      <c r="J173" s="74"/>
      <c r="L173" s="74"/>
      <c r="M173" s="74"/>
      <c r="N173" s="85">
        <f>SUM(N164:N172)</f>
        <v>3.31122906</v>
      </c>
      <c r="O173" s="80"/>
      <c r="P173" s="84"/>
    </row>
    <row r="174" s="61" customFormat="1" customHeight="1" spans="1:16">
      <c r="A174" s="71">
        <v>169</v>
      </c>
      <c r="B174" s="72" t="s">
        <v>155</v>
      </c>
      <c r="C174" s="73" t="s">
        <v>156</v>
      </c>
      <c r="D174" s="74">
        <v>3.181872</v>
      </c>
      <c r="E174" s="74">
        <v>0.3</v>
      </c>
      <c r="F174" s="74">
        <v>0.25</v>
      </c>
      <c r="G174" s="74">
        <f>(11818.72*G5)/10000</f>
        <v>0.28364928</v>
      </c>
      <c r="H174" s="74"/>
      <c r="I174" s="74"/>
      <c r="J174" s="74"/>
      <c r="K174" s="74"/>
      <c r="L174" s="74"/>
      <c r="M174" s="74"/>
      <c r="N174" s="74">
        <f t="shared" ref="N174:N186" si="29">SUM(E174:M174)</f>
        <v>0.83364928</v>
      </c>
      <c r="O174" s="84">
        <v>0.7636</v>
      </c>
      <c r="P174" s="84">
        <f t="shared" ref="P174:P186" si="30">N174-O174</f>
        <v>0.07004928</v>
      </c>
    </row>
    <row r="175" s="61" customFormat="1" customHeight="1" spans="1:16">
      <c r="A175" s="71">
        <v>170</v>
      </c>
      <c r="B175" s="75"/>
      <c r="C175" s="73" t="s">
        <v>387</v>
      </c>
      <c r="D175" s="74">
        <v>0.35828</v>
      </c>
      <c r="E175" s="74">
        <f>D175*E5</f>
        <v>0.107484</v>
      </c>
      <c r="F175" s="74"/>
      <c r="G175" s="74"/>
      <c r="H175" s="74"/>
      <c r="I175" s="74"/>
      <c r="J175" s="74"/>
      <c r="K175" s="74"/>
      <c r="L175" s="74"/>
      <c r="M175" s="74"/>
      <c r="N175" s="74">
        <f t="shared" si="29"/>
        <v>0.107484</v>
      </c>
      <c r="O175" s="84">
        <v>0.107509</v>
      </c>
      <c r="P175" s="84">
        <f t="shared" si="30"/>
        <v>-2.49999999999834e-5</v>
      </c>
    </row>
    <row r="176" s="61" customFormat="1" customHeight="1" spans="1:16">
      <c r="A176" s="71">
        <v>171</v>
      </c>
      <c r="B176" s="75"/>
      <c r="C176" s="73" t="s">
        <v>158</v>
      </c>
      <c r="D176" s="74">
        <v>1.790484</v>
      </c>
      <c r="E176" s="74">
        <v>0.3</v>
      </c>
      <c r="F176" s="74">
        <f>(7904.84*F5)/10000</f>
        <v>0.197621</v>
      </c>
      <c r="G176" s="74"/>
      <c r="H176" s="74"/>
      <c r="I176" s="74"/>
      <c r="J176" s="74"/>
      <c r="K176" s="74"/>
      <c r="L176" s="74"/>
      <c r="M176" s="74"/>
      <c r="N176" s="74">
        <f t="shared" si="29"/>
        <v>0.497621</v>
      </c>
      <c r="O176" s="84">
        <v>0.4476</v>
      </c>
      <c r="P176" s="84">
        <f t="shared" si="30"/>
        <v>0.050021</v>
      </c>
    </row>
    <row r="177" s="61" customFormat="1" customHeight="1" spans="1:16">
      <c r="A177" s="71">
        <v>172</v>
      </c>
      <c r="B177" s="75"/>
      <c r="C177" s="73" t="s">
        <v>388</v>
      </c>
      <c r="D177" s="74">
        <v>0.064632</v>
      </c>
      <c r="E177" s="74">
        <f>D177*E5</f>
        <v>0.0193896</v>
      </c>
      <c r="F177" s="74"/>
      <c r="G177" s="74"/>
      <c r="H177" s="74"/>
      <c r="I177" s="74"/>
      <c r="J177" s="74"/>
      <c r="K177" s="74"/>
      <c r="L177" s="74"/>
      <c r="M177" s="74"/>
      <c r="N177" s="74">
        <f t="shared" si="29"/>
        <v>0.0193896</v>
      </c>
      <c r="O177" s="84">
        <v>0.0193896</v>
      </c>
      <c r="P177" s="84">
        <f t="shared" si="30"/>
        <v>0</v>
      </c>
    </row>
    <row r="178" s="61" customFormat="1" customHeight="1" spans="1:16">
      <c r="A178" s="71">
        <v>173</v>
      </c>
      <c r="B178" s="75"/>
      <c r="C178" s="73" t="s">
        <v>389</v>
      </c>
      <c r="D178" s="74">
        <v>0.999673</v>
      </c>
      <c r="E178" s="74">
        <f>D178*E5</f>
        <v>0.2999019</v>
      </c>
      <c r="F178" s="74"/>
      <c r="G178" s="74"/>
      <c r="H178" s="74"/>
      <c r="I178" s="74"/>
      <c r="J178" s="74"/>
      <c r="K178" s="74"/>
      <c r="L178" s="74"/>
      <c r="M178" s="74"/>
      <c r="N178" s="74">
        <f t="shared" si="29"/>
        <v>0.2999019</v>
      </c>
      <c r="O178" s="84">
        <v>0.2999019</v>
      </c>
      <c r="P178" s="84">
        <f t="shared" si="30"/>
        <v>0</v>
      </c>
    </row>
    <row r="179" s="61" customFormat="1" customHeight="1" spans="1:16">
      <c r="A179" s="71">
        <v>174</v>
      </c>
      <c r="B179" s="75"/>
      <c r="C179" s="73" t="s">
        <v>194</v>
      </c>
      <c r="D179" s="74">
        <v>0</v>
      </c>
      <c r="E179" s="74"/>
      <c r="F179" s="74"/>
      <c r="G179" s="74"/>
      <c r="H179" s="74"/>
      <c r="I179" s="74"/>
      <c r="J179" s="74"/>
      <c r="K179" s="74"/>
      <c r="L179" s="74"/>
      <c r="M179" s="74"/>
      <c r="N179" s="74">
        <f t="shared" si="29"/>
        <v>0</v>
      </c>
      <c r="O179" s="84">
        <v>0</v>
      </c>
      <c r="P179" s="84">
        <f t="shared" si="30"/>
        <v>0</v>
      </c>
    </row>
    <row r="180" s="61" customFormat="1" customHeight="1" spans="1:16">
      <c r="A180" s="71">
        <v>175</v>
      </c>
      <c r="B180" s="75"/>
      <c r="C180" s="73" t="s">
        <v>390</v>
      </c>
      <c r="D180" s="74">
        <v>0.248897</v>
      </c>
      <c r="E180" s="74">
        <f>D180*E5</f>
        <v>0.0746691</v>
      </c>
      <c r="F180" s="74"/>
      <c r="G180" s="74"/>
      <c r="H180" s="74"/>
      <c r="I180" s="74"/>
      <c r="J180" s="74"/>
      <c r="K180" s="74"/>
      <c r="L180" s="74"/>
      <c r="M180" s="74"/>
      <c r="N180" s="74">
        <f t="shared" si="29"/>
        <v>0.0746691</v>
      </c>
      <c r="O180" s="84">
        <v>0.0746762</v>
      </c>
      <c r="P180" s="84">
        <f t="shared" si="30"/>
        <v>-7.10000000000988e-6</v>
      </c>
    </row>
    <row r="181" s="61" customFormat="1" customHeight="1" spans="1:16">
      <c r="A181" s="71">
        <v>176</v>
      </c>
      <c r="B181" s="75"/>
      <c r="C181" s="73" t="s">
        <v>391</v>
      </c>
      <c r="D181" s="74">
        <v>0.08128</v>
      </c>
      <c r="E181" s="74">
        <f>D181*E5</f>
        <v>0.024384</v>
      </c>
      <c r="F181" s="74"/>
      <c r="G181" s="74"/>
      <c r="H181" s="74"/>
      <c r="I181" s="74"/>
      <c r="J181" s="74"/>
      <c r="K181" s="74"/>
      <c r="L181" s="74"/>
      <c r="M181" s="74"/>
      <c r="N181" s="74">
        <f t="shared" si="29"/>
        <v>0.024384</v>
      </c>
      <c r="O181" s="84">
        <v>0.0244</v>
      </c>
      <c r="P181" s="84">
        <f t="shared" si="30"/>
        <v>-1.60000000000056e-5</v>
      </c>
    </row>
    <row r="182" s="61" customFormat="1" customHeight="1" spans="1:16">
      <c r="A182" s="71">
        <v>177</v>
      </c>
      <c r="B182" s="75"/>
      <c r="C182" s="73" t="s">
        <v>157</v>
      </c>
      <c r="D182" s="74">
        <v>0.1154</v>
      </c>
      <c r="E182" s="74">
        <f>D182*E5</f>
        <v>0.03462</v>
      </c>
      <c r="F182" s="74"/>
      <c r="G182" s="74"/>
      <c r="H182" s="74"/>
      <c r="I182" s="74"/>
      <c r="J182" s="74"/>
      <c r="K182" s="74"/>
      <c r="L182" s="74"/>
      <c r="M182" s="74"/>
      <c r="N182" s="74">
        <f t="shared" si="29"/>
        <v>0.03462</v>
      </c>
      <c r="O182" s="84">
        <v>0.0346</v>
      </c>
      <c r="P182" s="84">
        <f t="shared" si="30"/>
        <v>1.99999999999992e-5</v>
      </c>
    </row>
    <row r="183" s="61" customFormat="1" customHeight="1" spans="1:16">
      <c r="A183" s="71">
        <v>178</v>
      </c>
      <c r="B183" s="75"/>
      <c r="C183" s="73" t="s">
        <v>392</v>
      </c>
      <c r="D183" s="74">
        <v>0.228342</v>
      </c>
      <c r="E183" s="74">
        <f>D183*E5</f>
        <v>0.0685026</v>
      </c>
      <c r="F183" s="74"/>
      <c r="G183" s="74"/>
      <c r="H183" s="74"/>
      <c r="I183" s="74"/>
      <c r="J183" s="74"/>
      <c r="K183" s="74"/>
      <c r="L183" s="74"/>
      <c r="M183" s="74"/>
      <c r="N183" s="74">
        <f t="shared" si="29"/>
        <v>0.0685026</v>
      </c>
      <c r="O183" s="84">
        <v>0.0684566</v>
      </c>
      <c r="P183" s="84">
        <f t="shared" si="30"/>
        <v>4.59999999999905e-5</v>
      </c>
    </row>
    <row r="184" s="61" customFormat="1" customHeight="1" spans="1:16">
      <c r="A184" s="71">
        <v>179</v>
      </c>
      <c r="B184" s="75"/>
      <c r="C184" s="73" t="s">
        <v>393</v>
      </c>
      <c r="D184" s="74">
        <v>0.725097</v>
      </c>
      <c r="E184" s="74">
        <f>D184*E5</f>
        <v>0.2175291</v>
      </c>
      <c r="F184" s="74"/>
      <c r="G184" s="74"/>
      <c r="H184" s="74"/>
      <c r="I184" s="74"/>
      <c r="J184" s="74"/>
      <c r="K184" s="74"/>
      <c r="L184" s="74"/>
      <c r="M184" s="74"/>
      <c r="N184" s="74">
        <f t="shared" si="29"/>
        <v>0.2175291</v>
      </c>
      <c r="O184" s="84">
        <v>0.2175291</v>
      </c>
      <c r="P184" s="84">
        <f t="shared" si="30"/>
        <v>0</v>
      </c>
    </row>
    <row r="185" s="61" customFormat="1" customHeight="1" spans="1:16">
      <c r="A185" s="71">
        <v>180</v>
      </c>
      <c r="B185" s="75"/>
      <c r="C185" s="73" t="s">
        <v>394</v>
      </c>
      <c r="D185" s="74">
        <v>0.169674</v>
      </c>
      <c r="E185" s="74">
        <f>D185*E5</f>
        <v>0.0509022</v>
      </c>
      <c r="F185" s="74"/>
      <c r="G185" s="74"/>
      <c r="H185" s="74"/>
      <c r="I185" s="74"/>
      <c r="J185" s="74"/>
      <c r="K185" s="74"/>
      <c r="L185" s="74"/>
      <c r="M185" s="74"/>
      <c r="N185" s="74">
        <f t="shared" si="29"/>
        <v>0.0509022</v>
      </c>
      <c r="O185" s="84">
        <v>0.0509022</v>
      </c>
      <c r="P185" s="84">
        <f t="shared" si="30"/>
        <v>0</v>
      </c>
    </row>
    <row r="186" s="61" customFormat="1" customHeight="1" spans="1:16">
      <c r="A186" s="71">
        <v>181</v>
      </c>
      <c r="B186" s="77"/>
      <c r="C186" s="73" t="s">
        <v>395</v>
      </c>
      <c r="D186" s="74">
        <v>1.64874</v>
      </c>
      <c r="E186" s="74">
        <v>0.3</v>
      </c>
      <c r="F186" s="74">
        <f>(6487.4*F5)/10000</f>
        <v>0.162185</v>
      </c>
      <c r="G186" s="74"/>
      <c r="H186" s="74"/>
      <c r="I186" s="74"/>
      <c r="J186" s="74"/>
      <c r="K186" s="74"/>
      <c r="L186" s="74"/>
      <c r="M186" s="74"/>
      <c r="N186" s="74">
        <f t="shared" si="29"/>
        <v>0.462185</v>
      </c>
      <c r="O186" s="84">
        <v>0.412185</v>
      </c>
      <c r="P186" s="84">
        <f t="shared" si="30"/>
        <v>0.0499999999999999</v>
      </c>
    </row>
    <row r="187" s="61" customFormat="1" customHeight="1" spans="1:16">
      <c r="A187" s="71">
        <v>182</v>
      </c>
      <c r="B187" s="75"/>
      <c r="C187" s="78"/>
      <c r="D187" s="74"/>
      <c r="E187" s="74"/>
      <c r="F187" s="74"/>
      <c r="G187" s="74"/>
      <c r="H187" s="74"/>
      <c r="J187" s="74"/>
      <c r="K187" s="74"/>
      <c r="L187" s="74"/>
      <c r="M187" s="74"/>
      <c r="N187" s="85">
        <f>SUM(N174:N186)</f>
        <v>2.69083778</v>
      </c>
      <c r="O187" s="80"/>
      <c r="P187" s="84"/>
    </row>
    <row r="188" s="61" customFormat="1" customHeight="1" spans="1:16">
      <c r="A188" s="71">
        <v>183</v>
      </c>
      <c r="B188" s="72" t="s">
        <v>159</v>
      </c>
      <c r="C188" s="73" t="s">
        <v>396</v>
      </c>
      <c r="D188" s="74">
        <v>37.857222</v>
      </c>
      <c r="E188" s="74"/>
      <c r="F188" s="74"/>
      <c r="G188" s="74"/>
      <c r="H188" s="74"/>
      <c r="J188" s="74"/>
      <c r="K188" s="74"/>
      <c r="L188" s="74"/>
      <c r="M188" s="74">
        <v>5</v>
      </c>
      <c r="N188" s="74">
        <f t="shared" ref="N188:N208" si="31">SUM(E188:M188)</f>
        <v>5</v>
      </c>
      <c r="O188" s="84">
        <v>6.98991321</v>
      </c>
      <c r="P188" s="84">
        <f t="shared" ref="P188:P208" si="32">N188-O188</f>
        <v>-1.98991321</v>
      </c>
    </row>
    <row r="189" s="61" customFormat="1" customHeight="1" spans="1:16">
      <c r="A189" s="71">
        <v>184</v>
      </c>
      <c r="B189" s="75"/>
      <c r="C189" s="73" t="s">
        <v>397</v>
      </c>
      <c r="D189" s="74">
        <v>0.046139</v>
      </c>
      <c r="E189" s="74">
        <f>D189*E5</f>
        <v>0.0138417</v>
      </c>
      <c r="F189" s="74"/>
      <c r="G189" s="74"/>
      <c r="H189" s="74"/>
      <c r="I189" s="74"/>
      <c r="J189" s="74"/>
      <c r="K189" s="74"/>
      <c r="L189" s="74"/>
      <c r="M189" s="74"/>
      <c r="N189" s="74">
        <f t="shared" si="31"/>
        <v>0.0138417</v>
      </c>
      <c r="O189" s="84">
        <v>0.0138242</v>
      </c>
      <c r="P189" s="84">
        <f t="shared" si="32"/>
        <v>1.75000000000019e-5</v>
      </c>
    </row>
    <row r="190" s="61" customFormat="1" customHeight="1" spans="1:16">
      <c r="A190" s="71">
        <v>185</v>
      </c>
      <c r="B190" s="75"/>
      <c r="C190" s="73" t="s">
        <v>398</v>
      </c>
      <c r="D190" s="74">
        <v>13.106572</v>
      </c>
      <c r="E190" s="74">
        <v>0.3</v>
      </c>
      <c r="F190" s="74">
        <v>0.25</v>
      </c>
      <c r="G190" s="74">
        <v>0.48</v>
      </c>
      <c r="H190" s="74">
        <v>0.46</v>
      </c>
      <c r="I190" s="74">
        <v>0.84</v>
      </c>
      <c r="J190" s="74">
        <f>(31075.72*J5)/10000</f>
        <v>0.6215144</v>
      </c>
      <c r="K190" s="74"/>
      <c r="L190" s="74"/>
      <c r="M190" s="74"/>
      <c r="N190" s="74">
        <f t="shared" si="31"/>
        <v>2.9515144</v>
      </c>
      <c r="O190" s="84">
        <v>2.85757041</v>
      </c>
      <c r="P190" s="84">
        <f t="shared" si="32"/>
        <v>0.0939439900000001</v>
      </c>
    </row>
    <row r="191" s="61" customFormat="1" customHeight="1" spans="1:16">
      <c r="A191" s="71">
        <v>186</v>
      </c>
      <c r="B191" s="75"/>
      <c r="C191" s="73" t="s">
        <v>399</v>
      </c>
      <c r="D191" s="74">
        <v>3.310832</v>
      </c>
      <c r="E191" s="74">
        <v>0.3</v>
      </c>
      <c r="F191" s="74">
        <v>0.25</v>
      </c>
      <c r="G191" s="74">
        <f>(13108.32*G5)/10000</f>
        <v>0.31459968</v>
      </c>
      <c r="H191" s="74"/>
      <c r="I191" s="74"/>
      <c r="J191" s="74"/>
      <c r="K191" s="74"/>
      <c r="L191" s="74"/>
      <c r="M191" s="74"/>
      <c r="N191" s="74">
        <f t="shared" si="31"/>
        <v>0.86459968</v>
      </c>
      <c r="O191" s="84">
        <v>0.827756</v>
      </c>
      <c r="P191" s="84">
        <f t="shared" si="32"/>
        <v>0.03684368</v>
      </c>
    </row>
    <row r="192" s="61" customFormat="1" customHeight="1" spans="1:16">
      <c r="A192" s="71">
        <v>187</v>
      </c>
      <c r="B192" s="75"/>
      <c r="C192" s="73" t="s">
        <v>400</v>
      </c>
      <c r="D192" s="74">
        <v>0.109058</v>
      </c>
      <c r="E192" s="74">
        <f>D192*E5</f>
        <v>0.0327174</v>
      </c>
      <c r="F192" s="74"/>
      <c r="G192" s="74"/>
      <c r="H192" s="74"/>
      <c r="I192" s="74"/>
      <c r="J192" s="74"/>
      <c r="K192" s="74"/>
      <c r="L192" s="74"/>
      <c r="M192" s="74"/>
      <c r="N192" s="74">
        <f t="shared" si="31"/>
        <v>0.0327174</v>
      </c>
      <c r="O192" s="84">
        <v>0.0326944</v>
      </c>
      <c r="P192" s="84">
        <f t="shared" si="32"/>
        <v>2.29999999999952e-5</v>
      </c>
    </row>
    <row r="193" s="61" customFormat="1" customHeight="1" spans="1:16">
      <c r="A193" s="71">
        <v>188</v>
      </c>
      <c r="B193" s="75"/>
      <c r="C193" s="73" t="s">
        <v>401</v>
      </c>
      <c r="D193" s="74">
        <v>31.938934</v>
      </c>
      <c r="E193" s="74"/>
      <c r="F193" s="74"/>
      <c r="G193" s="74"/>
      <c r="H193" s="74"/>
      <c r="I193" s="74"/>
      <c r="J193" s="74"/>
      <c r="K193" s="74"/>
      <c r="L193" s="74"/>
      <c r="M193" s="74">
        <v>5</v>
      </c>
      <c r="N193" s="74">
        <f t="shared" si="31"/>
        <v>5</v>
      </c>
      <c r="O193" s="84">
        <v>6.06838203</v>
      </c>
      <c r="P193" s="84">
        <f t="shared" si="32"/>
        <v>-1.06838203</v>
      </c>
    </row>
    <row r="194" s="61" customFormat="1" customHeight="1" spans="1:16">
      <c r="A194" s="71">
        <v>189</v>
      </c>
      <c r="B194" s="75"/>
      <c r="C194" s="73" t="s">
        <v>402</v>
      </c>
      <c r="D194" s="74">
        <v>35.663772</v>
      </c>
      <c r="E194" s="74"/>
      <c r="F194" s="74"/>
      <c r="G194" s="74"/>
      <c r="H194" s="74"/>
      <c r="I194" s="74"/>
      <c r="J194" s="74"/>
      <c r="K194" s="74"/>
      <c r="L194" s="74"/>
      <c r="M194" s="74">
        <v>5</v>
      </c>
      <c r="N194" s="74">
        <f t="shared" si="31"/>
        <v>5</v>
      </c>
      <c r="O194" s="84">
        <v>6.77612486</v>
      </c>
      <c r="P194" s="84">
        <f t="shared" si="32"/>
        <v>-1.77612486</v>
      </c>
    </row>
    <row r="195" s="61" customFormat="1" customHeight="1" spans="1:16">
      <c r="A195" s="71">
        <v>190</v>
      </c>
      <c r="B195" s="75"/>
      <c r="C195" s="73" t="s">
        <v>403</v>
      </c>
      <c r="D195" s="74">
        <v>4.093703</v>
      </c>
      <c r="E195" s="74">
        <v>0.3</v>
      </c>
      <c r="F195" s="74">
        <v>0.25</v>
      </c>
      <c r="G195" s="74">
        <v>0.48</v>
      </c>
      <c r="H195" s="74">
        <f>(937.03*H5)/10000</f>
        <v>0.02155169</v>
      </c>
      <c r="I195" s="74"/>
      <c r="J195" s="74"/>
      <c r="K195" s="74"/>
      <c r="L195" s="74"/>
      <c r="M195" s="74"/>
      <c r="N195" s="74">
        <f t="shared" si="31"/>
        <v>1.05155169</v>
      </c>
      <c r="O195" s="84">
        <v>0.99640625</v>
      </c>
      <c r="P195" s="84">
        <f t="shared" si="32"/>
        <v>0.0551454399999999</v>
      </c>
    </row>
    <row r="196" s="61" customFormat="1" customHeight="1" spans="1:16">
      <c r="A196" s="71">
        <v>191</v>
      </c>
      <c r="B196" s="75"/>
      <c r="C196" s="73" t="s">
        <v>404</v>
      </c>
      <c r="D196" s="74">
        <v>0.376864</v>
      </c>
      <c r="E196" s="74">
        <f>D196*E5</f>
        <v>0.1130592</v>
      </c>
      <c r="F196" s="74"/>
      <c r="G196" s="74"/>
      <c r="H196" s="74"/>
      <c r="I196" s="74"/>
      <c r="J196" s="74"/>
      <c r="K196" s="74"/>
      <c r="L196" s="74"/>
      <c r="M196" s="74"/>
      <c r="N196" s="74">
        <f t="shared" si="31"/>
        <v>0.1130592</v>
      </c>
      <c r="O196" s="84">
        <v>0.1130599</v>
      </c>
      <c r="P196" s="84">
        <f t="shared" si="32"/>
        <v>-7.00000000006251e-7</v>
      </c>
    </row>
    <row r="197" s="61" customFormat="1" customHeight="1" spans="1:16">
      <c r="A197" s="71">
        <v>192</v>
      </c>
      <c r="B197" s="75"/>
      <c r="C197" s="73" t="s">
        <v>405</v>
      </c>
      <c r="D197" s="74">
        <v>31.072085</v>
      </c>
      <c r="E197" s="74"/>
      <c r="F197" s="74"/>
      <c r="G197" s="74"/>
      <c r="H197" s="74"/>
      <c r="I197" s="74"/>
      <c r="J197" s="74"/>
      <c r="K197" s="74"/>
      <c r="L197" s="74"/>
      <c r="M197" s="74">
        <v>5</v>
      </c>
      <c r="N197" s="74">
        <f t="shared" si="31"/>
        <v>5</v>
      </c>
      <c r="O197" s="84">
        <v>6.052963</v>
      </c>
      <c r="P197" s="84">
        <f t="shared" si="32"/>
        <v>-1.052963</v>
      </c>
    </row>
    <row r="198" s="61" customFormat="1" customHeight="1" spans="1:16">
      <c r="A198" s="71">
        <v>193</v>
      </c>
      <c r="B198" s="75"/>
      <c r="C198" s="73" t="s">
        <v>406</v>
      </c>
      <c r="D198" s="74">
        <v>6.096535</v>
      </c>
      <c r="E198" s="74">
        <v>0.3</v>
      </c>
      <c r="F198" s="74">
        <v>0.25</v>
      </c>
      <c r="G198" s="74">
        <v>0.48</v>
      </c>
      <c r="H198" s="74">
        <v>0.46</v>
      </c>
      <c r="I198" s="74">
        <f>(965.35*I5)/10000</f>
        <v>0.02027235</v>
      </c>
      <c r="J198" s="74"/>
      <c r="K198" s="74"/>
      <c r="L198" s="74"/>
      <c r="M198" s="74"/>
      <c r="N198" s="74">
        <f t="shared" si="31"/>
        <v>1.51027235</v>
      </c>
      <c r="O198" s="84">
        <v>1.46313664</v>
      </c>
      <c r="P198" s="84">
        <f t="shared" si="32"/>
        <v>0.0471357099999998</v>
      </c>
    </row>
    <row r="199" s="61" customFormat="1" customHeight="1" spans="1:16">
      <c r="A199" s="71">
        <v>194</v>
      </c>
      <c r="B199" s="75"/>
      <c r="C199" s="73" t="s">
        <v>407</v>
      </c>
      <c r="D199" s="74">
        <v>3.785033</v>
      </c>
      <c r="E199" s="74">
        <v>0.3</v>
      </c>
      <c r="F199" s="74">
        <v>0.25</v>
      </c>
      <c r="G199" s="74">
        <f>(7850.33*G5)/10000</f>
        <v>0.18840792</v>
      </c>
      <c r="H199" s="74"/>
      <c r="I199" s="74"/>
      <c r="J199" s="74"/>
      <c r="K199" s="74"/>
      <c r="L199" s="74"/>
      <c r="M199" s="74"/>
      <c r="N199" s="74">
        <f t="shared" si="31"/>
        <v>0.73840792</v>
      </c>
      <c r="O199" s="84">
        <v>0.91951376</v>
      </c>
      <c r="P199" s="84">
        <f t="shared" si="32"/>
        <v>-0.18110584</v>
      </c>
    </row>
    <row r="200" s="61" customFormat="1" customHeight="1" spans="1:16">
      <c r="A200" s="71">
        <v>195</v>
      </c>
      <c r="B200" s="75"/>
      <c r="C200" s="73" t="s">
        <v>408</v>
      </c>
      <c r="D200" s="74">
        <v>0.549452</v>
      </c>
      <c r="E200" s="74">
        <f>D200*E5</f>
        <v>0.1648356</v>
      </c>
      <c r="F200" s="74"/>
      <c r="G200" s="74"/>
      <c r="H200" s="74"/>
      <c r="I200" s="74"/>
      <c r="J200" s="74"/>
      <c r="K200" s="74"/>
      <c r="L200" s="74"/>
      <c r="M200" s="74"/>
      <c r="N200" s="74">
        <f t="shared" si="31"/>
        <v>0.1648356</v>
      </c>
      <c r="O200" s="84">
        <v>0.164885</v>
      </c>
      <c r="P200" s="84">
        <f t="shared" si="32"/>
        <v>-4.9400000000005e-5</v>
      </c>
    </row>
    <row r="201" s="61" customFormat="1" customHeight="1" spans="1:16">
      <c r="A201" s="71">
        <v>196</v>
      </c>
      <c r="B201" s="75"/>
      <c r="C201" s="73" t="s">
        <v>409</v>
      </c>
      <c r="D201" s="74">
        <v>0.488844</v>
      </c>
      <c r="E201" s="74">
        <f>D201*E5</f>
        <v>0.1466532</v>
      </c>
      <c r="F201" s="74"/>
      <c r="G201" s="74"/>
      <c r="H201" s="74"/>
      <c r="I201" s="74"/>
      <c r="J201" s="74"/>
      <c r="K201" s="74"/>
      <c r="L201" s="74"/>
      <c r="M201" s="74"/>
      <c r="N201" s="74">
        <f t="shared" si="31"/>
        <v>0.1466532</v>
      </c>
      <c r="O201" s="84">
        <v>0.1466675</v>
      </c>
      <c r="P201" s="84">
        <f t="shared" si="32"/>
        <v>-1.43000000000226e-5</v>
      </c>
    </row>
    <row r="202" s="61" customFormat="1" customHeight="1" spans="1:16">
      <c r="A202" s="71">
        <v>197</v>
      </c>
      <c r="B202" s="75"/>
      <c r="C202" s="73" t="s">
        <v>410</v>
      </c>
      <c r="D202" s="74">
        <v>14.605815</v>
      </c>
      <c r="E202" s="74">
        <v>0.3</v>
      </c>
      <c r="F202" s="74">
        <v>0.25</v>
      </c>
      <c r="G202" s="74">
        <v>0.48</v>
      </c>
      <c r="H202" s="74">
        <v>0.46</v>
      </c>
      <c r="I202" s="74">
        <v>0.84</v>
      </c>
      <c r="J202" s="74">
        <f>(46058.15*J5)/10000</f>
        <v>0.921163</v>
      </c>
      <c r="K202" s="74"/>
      <c r="L202" s="74"/>
      <c r="M202" s="74"/>
      <c r="N202" s="74">
        <f t="shared" si="31"/>
        <v>3.251163</v>
      </c>
      <c r="O202" s="84">
        <v>3.18694775</v>
      </c>
      <c r="P202" s="84">
        <f t="shared" si="32"/>
        <v>0.0642152499999997</v>
      </c>
    </row>
    <row r="203" s="61" customFormat="1" customHeight="1" spans="1:16">
      <c r="A203" s="71">
        <v>198</v>
      </c>
      <c r="B203" s="75"/>
      <c r="C203" s="73" t="s">
        <v>411</v>
      </c>
      <c r="D203" s="74">
        <v>1.019933</v>
      </c>
      <c r="E203" s="74">
        <v>0.3</v>
      </c>
      <c r="F203" s="76">
        <f>(199.33*F5)/10000</f>
        <v>0.00498325</v>
      </c>
      <c r="G203" s="74"/>
      <c r="H203" s="74"/>
      <c r="I203" s="74"/>
      <c r="J203" s="74"/>
      <c r="K203" s="74"/>
      <c r="L203" s="74"/>
      <c r="M203" s="74"/>
      <c r="N203" s="74">
        <f t="shared" si="31"/>
        <v>0.30498325</v>
      </c>
      <c r="O203" s="84">
        <v>0.3059343</v>
      </c>
      <c r="P203" s="84">
        <f t="shared" si="32"/>
        <v>-0.000951050000000009</v>
      </c>
    </row>
    <row r="204" s="61" customFormat="1" customHeight="1" spans="1:16">
      <c r="A204" s="71">
        <v>199</v>
      </c>
      <c r="B204" s="75"/>
      <c r="C204" s="73" t="s">
        <v>412</v>
      </c>
      <c r="D204" s="74">
        <v>0.356407</v>
      </c>
      <c r="E204" s="74">
        <f>D204*E5</f>
        <v>0.1069221</v>
      </c>
      <c r="F204" s="74"/>
      <c r="G204" s="74"/>
      <c r="H204" s="74"/>
      <c r="I204" s="74"/>
      <c r="J204" s="74"/>
      <c r="K204" s="74"/>
      <c r="L204" s="74"/>
      <c r="M204" s="74"/>
      <c r="N204" s="74">
        <f t="shared" si="31"/>
        <v>0.1069221</v>
      </c>
      <c r="O204" s="84">
        <v>0.1069059</v>
      </c>
      <c r="P204" s="84">
        <f t="shared" si="32"/>
        <v>1.62000000000079e-5</v>
      </c>
    </row>
    <row r="205" s="61" customFormat="1" customHeight="1" spans="1:16">
      <c r="A205" s="71">
        <v>200</v>
      </c>
      <c r="B205" s="75"/>
      <c r="C205" s="73" t="s">
        <v>413</v>
      </c>
      <c r="D205" s="74">
        <v>8.226144</v>
      </c>
      <c r="E205" s="74">
        <v>0.3</v>
      </c>
      <c r="F205" s="74">
        <v>0.25</v>
      </c>
      <c r="G205" s="74">
        <v>0.48</v>
      </c>
      <c r="H205" s="74">
        <v>0.46</v>
      </c>
      <c r="I205" s="74">
        <f>(22261.44*I5)/10000</f>
        <v>0.46749024</v>
      </c>
      <c r="J205" s="74"/>
      <c r="K205" s="74"/>
      <c r="L205" s="74"/>
      <c r="M205" s="74"/>
      <c r="N205" s="74">
        <f t="shared" si="31"/>
        <v>1.95749024</v>
      </c>
      <c r="O205" s="84">
        <v>1.92844055</v>
      </c>
      <c r="P205" s="84">
        <f t="shared" si="32"/>
        <v>0.0290496899999999</v>
      </c>
    </row>
    <row r="206" s="61" customFormat="1" customHeight="1" spans="1:16">
      <c r="A206" s="71">
        <v>201</v>
      </c>
      <c r="B206" s="75"/>
      <c r="C206" s="73" t="s">
        <v>160</v>
      </c>
      <c r="D206" s="74">
        <v>2.914038</v>
      </c>
      <c r="E206" s="74">
        <v>0.3</v>
      </c>
      <c r="F206" s="74">
        <v>0.25</v>
      </c>
      <c r="G206" s="74">
        <f>(9140.38*G5)/10000</f>
        <v>0.21936912</v>
      </c>
      <c r="H206" s="74"/>
      <c r="I206" s="74"/>
      <c r="J206" s="74"/>
      <c r="K206" s="74"/>
      <c r="L206" s="74"/>
      <c r="M206" s="74"/>
      <c r="N206" s="74">
        <f t="shared" si="31"/>
        <v>0.76936912</v>
      </c>
      <c r="O206" s="84">
        <v>0.6994</v>
      </c>
      <c r="P206" s="84">
        <f t="shared" si="32"/>
        <v>0.06996912</v>
      </c>
    </row>
    <row r="207" s="61" customFormat="1" customHeight="1" spans="1:16">
      <c r="A207" s="71">
        <v>202</v>
      </c>
      <c r="B207" s="75"/>
      <c r="C207" s="73" t="s">
        <v>161</v>
      </c>
      <c r="D207" s="74">
        <v>0.084383</v>
      </c>
      <c r="E207" s="74">
        <f>D207*E5</f>
        <v>0.0253149</v>
      </c>
      <c r="F207" s="74"/>
      <c r="G207" s="74"/>
      <c r="H207" s="74"/>
      <c r="I207" s="74"/>
      <c r="J207" s="74"/>
      <c r="K207" s="74"/>
      <c r="L207" s="74"/>
      <c r="M207" s="74"/>
      <c r="N207" s="74">
        <f t="shared" si="31"/>
        <v>0.0253149</v>
      </c>
      <c r="O207" s="84">
        <v>0.0253</v>
      </c>
      <c r="P207" s="84">
        <f t="shared" si="32"/>
        <v>1.48999999999982e-5</v>
      </c>
    </row>
    <row r="208" s="61" customFormat="1" customHeight="1" spans="1:16">
      <c r="A208" s="71">
        <v>203</v>
      </c>
      <c r="B208" s="77"/>
      <c r="C208" s="73" t="s">
        <v>162</v>
      </c>
      <c r="D208" s="74">
        <v>0.055458</v>
      </c>
      <c r="E208" s="74">
        <f>D208*E5</f>
        <v>0.0166374</v>
      </c>
      <c r="F208" s="74"/>
      <c r="G208" s="74"/>
      <c r="H208" s="74"/>
      <c r="I208" s="74"/>
      <c r="J208" s="74"/>
      <c r="K208" s="74"/>
      <c r="L208" s="74"/>
      <c r="M208" s="74"/>
      <c r="N208" s="74">
        <f t="shared" si="31"/>
        <v>0.0166374</v>
      </c>
      <c r="O208" s="84">
        <v>0.0166</v>
      </c>
      <c r="P208" s="84">
        <f t="shared" si="32"/>
        <v>3.73999999999999e-5</v>
      </c>
    </row>
    <row r="209" s="61" customFormat="1" customHeight="1" spans="1:16">
      <c r="A209" s="71">
        <v>204</v>
      </c>
      <c r="B209" s="75"/>
      <c r="C209" s="78"/>
      <c r="D209" s="74"/>
      <c r="E209" s="74"/>
      <c r="F209" s="74"/>
      <c r="G209" s="74"/>
      <c r="H209" s="74"/>
      <c r="J209" s="74"/>
      <c r="K209" s="74"/>
      <c r="L209" s="74"/>
      <c r="M209" s="74"/>
      <c r="N209" s="85">
        <f>SUM(N188:N208)</f>
        <v>34.01933315</v>
      </c>
      <c r="O209" s="80"/>
      <c r="P209" s="84"/>
    </row>
    <row r="210" s="61" customFormat="1" customHeight="1" spans="1:16">
      <c r="A210" s="71">
        <v>205</v>
      </c>
      <c r="B210" s="72" t="s">
        <v>163</v>
      </c>
      <c r="C210" s="73" t="s">
        <v>164</v>
      </c>
      <c r="D210" s="74">
        <v>0.30414</v>
      </c>
      <c r="E210" s="74">
        <f>D210*E5</f>
        <v>0.091242</v>
      </c>
      <c r="F210" s="74"/>
      <c r="G210" s="74"/>
      <c r="H210" s="74"/>
      <c r="I210" s="74"/>
      <c r="J210" s="74"/>
      <c r="K210" s="74"/>
      <c r="L210" s="74"/>
      <c r="M210" s="74"/>
      <c r="N210" s="74">
        <f t="shared" ref="N210:N227" si="33">SUM(E210:M210)</f>
        <v>0.091242</v>
      </c>
      <c r="O210" s="84">
        <v>0.0912</v>
      </c>
      <c r="P210" s="84">
        <f t="shared" ref="P210:P227" si="34">N210-O210</f>
        <v>4.20000000000004e-5</v>
      </c>
    </row>
    <row r="211" s="61" customFormat="1" customHeight="1" spans="1:16">
      <c r="A211" s="71">
        <v>206</v>
      </c>
      <c r="B211" s="75"/>
      <c r="C211" s="73" t="s">
        <v>414</v>
      </c>
      <c r="D211" s="74">
        <v>0.319564</v>
      </c>
      <c r="E211" s="74">
        <f>D211*E5</f>
        <v>0.0958692</v>
      </c>
      <c r="F211" s="74"/>
      <c r="G211" s="74"/>
      <c r="H211" s="74"/>
      <c r="I211" s="74"/>
      <c r="J211" s="74"/>
      <c r="K211" s="74"/>
      <c r="L211" s="74"/>
      <c r="M211" s="74"/>
      <c r="N211" s="74">
        <f t="shared" si="33"/>
        <v>0.0958692</v>
      </c>
      <c r="O211" s="84">
        <v>0.095917</v>
      </c>
      <c r="P211" s="84">
        <f t="shared" si="34"/>
        <v>-4.78000000000006e-5</v>
      </c>
    </row>
    <row r="212" s="61" customFormat="1" customHeight="1" spans="1:16">
      <c r="A212" s="71">
        <v>207</v>
      </c>
      <c r="B212" s="75"/>
      <c r="C212" s="73" t="s">
        <v>165</v>
      </c>
      <c r="D212" s="74">
        <v>0.460535</v>
      </c>
      <c r="E212" s="74">
        <f>D212*E5</f>
        <v>0.1381605</v>
      </c>
      <c r="F212" s="74"/>
      <c r="G212" s="74"/>
      <c r="H212" s="74"/>
      <c r="I212" s="74"/>
      <c r="J212" s="74"/>
      <c r="K212" s="74"/>
      <c r="L212" s="74"/>
      <c r="M212" s="74"/>
      <c r="N212" s="74">
        <f t="shared" si="33"/>
        <v>0.1381605</v>
      </c>
      <c r="O212" s="84">
        <v>0.1382</v>
      </c>
      <c r="P212" s="84">
        <f t="shared" si="34"/>
        <v>-3.94999999999979e-5</v>
      </c>
    </row>
    <row r="213" s="61" customFormat="1" customHeight="1" spans="1:16">
      <c r="A213" s="71">
        <v>208</v>
      </c>
      <c r="B213" s="75"/>
      <c r="C213" s="73" t="s">
        <v>415</v>
      </c>
      <c r="D213" s="74">
        <v>0.16658</v>
      </c>
      <c r="E213" s="74">
        <f>D213*E5</f>
        <v>0.049974</v>
      </c>
      <c r="F213" s="74"/>
      <c r="G213" s="74"/>
      <c r="H213" s="74"/>
      <c r="I213" s="74"/>
      <c r="J213" s="74"/>
      <c r="K213" s="74"/>
      <c r="L213" s="74"/>
      <c r="M213" s="74"/>
      <c r="N213" s="74">
        <f t="shared" si="33"/>
        <v>0.049974</v>
      </c>
      <c r="O213" s="84">
        <v>0.049974</v>
      </c>
      <c r="P213" s="84">
        <f t="shared" si="34"/>
        <v>0</v>
      </c>
    </row>
    <row r="214" s="61" customFormat="1" customHeight="1" spans="1:16">
      <c r="A214" s="71">
        <v>209</v>
      </c>
      <c r="B214" s="75"/>
      <c r="C214" s="73" t="s">
        <v>166</v>
      </c>
      <c r="D214" s="74">
        <v>0.714772</v>
      </c>
      <c r="E214" s="74">
        <f>D214*E5</f>
        <v>0.2144316</v>
      </c>
      <c r="F214" s="74"/>
      <c r="G214" s="74"/>
      <c r="H214" s="74"/>
      <c r="I214" s="74"/>
      <c r="J214" s="74"/>
      <c r="K214" s="74"/>
      <c r="L214" s="74"/>
      <c r="M214" s="74"/>
      <c r="N214" s="74">
        <f t="shared" si="33"/>
        <v>0.2144316</v>
      </c>
      <c r="O214" s="84">
        <v>0.2144</v>
      </c>
      <c r="P214" s="84">
        <f t="shared" si="34"/>
        <v>3.16000000000205e-5</v>
      </c>
    </row>
    <row r="215" s="61" customFormat="1" customHeight="1" spans="1:16">
      <c r="A215" s="71">
        <v>210</v>
      </c>
      <c r="B215" s="75"/>
      <c r="C215" s="73" t="s">
        <v>167</v>
      </c>
      <c r="D215" s="74">
        <v>0.0462</v>
      </c>
      <c r="E215" s="74">
        <f>D215*E5</f>
        <v>0.01386</v>
      </c>
      <c r="F215" s="74"/>
      <c r="G215" s="74"/>
      <c r="H215" s="74"/>
      <c r="I215" s="74"/>
      <c r="J215" s="74"/>
      <c r="K215" s="74"/>
      <c r="L215" s="74"/>
      <c r="M215" s="74"/>
      <c r="N215" s="74">
        <f t="shared" si="33"/>
        <v>0.01386</v>
      </c>
      <c r="O215" s="84">
        <v>0.0139</v>
      </c>
      <c r="P215" s="84">
        <f t="shared" si="34"/>
        <v>-4.00000000000001e-5</v>
      </c>
    </row>
    <row r="216" s="61" customFormat="1" customHeight="1" spans="1:16">
      <c r="A216" s="71">
        <v>211</v>
      </c>
      <c r="B216" s="75"/>
      <c r="C216" s="73" t="s">
        <v>168</v>
      </c>
      <c r="D216" s="74">
        <v>0.460124</v>
      </c>
      <c r="E216" s="74">
        <f>D216*E5</f>
        <v>0.1380372</v>
      </c>
      <c r="F216" s="74"/>
      <c r="G216" s="74"/>
      <c r="H216" s="74"/>
      <c r="I216" s="74"/>
      <c r="J216" s="74"/>
      <c r="K216" s="74"/>
      <c r="L216" s="74"/>
      <c r="M216" s="74"/>
      <c r="N216" s="74">
        <f t="shared" si="33"/>
        <v>0.1380372</v>
      </c>
      <c r="O216" s="84">
        <v>0.138</v>
      </c>
      <c r="P216" s="84">
        <f t="shared" si="34"/>
        <v>3.71999999999872e-5</v>
      </c>
    </row>
    <row r="217" s="61" customFormat="1" customHeight="1" spans="1:16">
      <c r="A217" s="71">
        <v>212</v>
      </c>
      <c r="B217" s="75"/>
      <c r="C217" s="73" t="s">
        <v>416</v>
      </c>
      <c r="D217" s="74">
        <v>0.49653</v>
      </c>
      <c r="E217" s="74">
        <f>D217*E5</f>
        <v>0.148959</v>
      </c>
      <c r="F217" s="74"/>
      <c r="G217" s="74"/>
      <c r="H217" s="74"/>
      <c r="I217" s="74"/>
      <c r="J217" s="74"/>
      <c r="K217" s="74"/>
      <c r="L217" s="74"/>
      <c r="M217" s="74"/>
      <c r="N217" s="74">
        <f t="shared" si="33"/>
        <v>0.148959</v>
      </c>
      <c r="O217" s="84">
        <v>0.148959</v>
      </c>
      <c r="P217" s="84">
        <f t="shared" si="34"/>
        <v>0</v>
      </c>
    </row>
    <row r="218" s="61" customFormat="1" customHeight="1" spans="1:16">
      <c r="A218" s="71">
        <v>213</v>
      </c>
      <c r="B218" s="75"/>
      <c r="C218" s="73" t="s">
        <v>169</v>
      </c>
      <c r="D218" s="74">
        <v>0</v>
      </c>
      <c r="E218" s="74"/>
      <c r="F218" s="74"/>
      <c r="G218" s="74"/>
      <c r="H218" s="74"/>
      <c r="I218" s="74"/>
      <c r="J218" s="74"/>
      <c r="K218" s="74"/>
      <c r="L218" s="74"/>
      <c r="M218" s="74"/>
      <c r="N218" s="74">
        <f t="shared" si="33"/>
        <v>0</v>
      </c>
      <c r="O218" s="84">
        <v>0</v>
      </c>
      <c r="P218" s="84">
        <f t="shared" si="34"/>
        <v>0</v>
      </c>
    </row>
    <row r="219" s="61" customFormat="1" customHeight="1" spans="1:16">
      <c r="A219" s="71">
        <v>214</v>
      </c>
      <c r="B219" s="75"/>
      <c r="C219" s="73" t="s">
        <v>417</v>
      </c>
      <c r="D219" s="74">
        <v>0.57651</v>
      </c>
      <c r="E219" s="74">
        <f>D219*E5</f>
        <v>0.172953</v>
      </c>
      <c r="F219" s="74"/>
      <c r="G219" s="74"/>
      <c r="H219" s="74"/>
      <c r="I219" s="74"/>
      <c r="J219" s="74"/>
      <c r="K219" s="74"/>
      <c r="L219" s="74"/>
      <c r="M219" s="74"/>
      <c r="N219" s="74">
        <f t="shared" si="33"/>
        <v>0.172953</v>
      </c>
      <c r="O219" s="84">
        <v>0.1730023</v>
      </c>
      <c r="P219" s="84">
        <f t="shared" si="34"/>
        <v>-4.92999999999744e-5</v>
      </c>
    </row>
    <row r="220" s="61" customFormat="1" customHeight="1" spans="1:16">
      <c r="A220" s="71">
        <v>215</v>
      </c>
      <c r="B220" s="75"/>
      <c r="C220" s="73" t="s">
        <v>418</v>
      </c>
      <c r="D220" s="74">
        <v>0.01951</v>
      </c>
      <c r="E220" s="74">
        <f>D220*E5</f>
        <v>0.005853</v>
      </c>
      <c r="F220" s="74"/>
      <c r="G220" s="74"/>
      <c r="H220" s="74"/>
      <c r="I220" s="74"/>
      <c r="J220" s="74"/>
      <c r="K220" s="74"/>
      <c r="L220" s="74"/>
      <c r="M220" s="74"/>
      <c r="N220" s="74">
        <f t="shared" si="33"/>
        <v>0.005853</v>
      </c>
      <c r="O220" s="84">
        <v>0.005853</v>
      </c>
      <c r="P220" s="84">
        <f t="shared" si="34"/>
        <v>0</v>
      </c>
    </row>
    <row r="221" s="61" customFormat="1" customHeight="1" spans="1:16">
      <c r="A221" s="71">
        <v>216</v>
      </c>
      <c r="B221" s="75"/>
      <c r="C221" s="73" t="s">
        <v>170</v>
      </c>
      <c r="D221" s="74">
        <v>0</v>
      </c>
      <c r="E221" s="74"/>
      <c r="F221" s="74"/>
      <c r="G221" s="74"/>
      <c r="H221" s="74"/>
      <c r="I221" s="74"/>
      <c r="J221" s="74"/>
      <c r="K221" s="74"/>
      <c r="L221" s="74"/>
      <c r="M221" s="74"/>
      <c r="N221" s="74">
        <f t="shared" si="33"/>
        <v>0</v>
      </c>
      <c r="O221" s="84">
        <v>0</v>
      </c>
      <c r="P221" s="84">
        <f t="shared" si="34"/>
        <v>0</v>
      </c>
    </row>
    <row r="222" s="61" customFormat="1" customHeight="1" spans="1:16">
      <c r="A222" s="71">
        <v>217</v>
      </c>
      <c r="B222" s="75"/>
      <c r="C222" s="73" t="s">
        <v>171</v>
      </c>
      <c r="D222" s="74">
        <v>0</v>
      </c>
      <c r="E222" s="74"/>
      <c r="F222" s="74"/>
      <c r="G222" s="74"/>
      <c r="H222" s="74"/>
      <c r="I222" s="74"/>
      <c r="J222" s="74"/>
      <c r="K222" s="74"/>
      <c r="L222" s="74"/>
      <c r="M222" s="74"/>
      <c r="N222" s="74">
        <f t="shared" si="33"/>
        <v>0</v>
      </c>
      <c r="O222" s="84">
        <v>0</v>
      </c>
      <c r="P222" s="84">
        <f t="shared" si="34"/>
        <v>0</v>
      </c>
    </row>
    <row r="223" s="61" customFormat="1" customHeight="1" spans="1:16">
      <c r="A223" s="71">
        <v>218</v>
      </c>
      <c r="B223" s="75"/>
      <c r="C223" s="73" t="s">
        <v>172</v>
      </c>
      <c r="D223" s="74">
        <v>0</v>
      </c>
      <c r="E223" s="74"/>
      <c r="F223" s="74"/>
      <c r="G223" s="74"/>
      <c r="H223" s="74"/>
      <c r="I223" s="74"/>
      <c r="J223" s="74"/>
      <c r="K223" s="74"/>
      <c r="L223" s="74"/>
      <c r="M223" s="74"/>
      <c r="N223" s="74">
        <f t="shared" si="33"/>
        <v>0</v>
      </c>
      <c r="O223" s="84">
        <v>0</v>
      </c>
      <c r="P223" s="84">
        <f t="shared" si="34"/>
        <v>0</v>
      </c>
    </row>
    <row r="224" s="61" customFormat="1" customHeight="1" spans="1:16">
      <c r="A224" s="71">
        <v>219</v>
      </c>
      <c r="B224" s="75"/>
      <c r="C224" s="73" t="s">
        <v>419</v>
      </c>
      <c r="D224" s="74">
        <v>1.63845</v>
      </c>
      <c r="E224" s="74">
        <v>0.3</v>
      </c>
      <c r="F224" s="74">
        <f>(6384.5*F5)/10000</f>
        <v>0.1596125</v>
      </c>
      <c r="G224" s="74"/>
      <c r="H224" s="74"/>
      <c r="I224" s="74"/>
      <c r="J224" s="74"/>
      <c r="K224" s="74"/>
      <c r="L224" s="74"/>
      <c r="M224" s="74"/>
      <c r="N224" s="74">
        <f t="shared" si="33"/>
        <v>0.4596125</v>
      </c>
      <c r="O224" s="84">
        <v>0.4915405</v>
      </c>
      <c r="P224" s="84">
        <f t="shared" si="34"/>
        <v>-0.031928</v>
      </c>
    </row>
    <row r="225" s="61" customFormat="1" customHeight="1" spans="1:16">
      <c r="A225" s="71">
        <v>220</v>
      </c>
      <c r="B225" s="75"/>
      <c r="C225" s="73" t="s">
        <v>420</v>
      </c>
      <c r="D225" s="74">
        <v>0.411396</v>
      </c>
      <c r="E225" s="74">
        <f>D225*E5</f>
        <v>0.1234188</v>
      </c>
      <c r="F225" s="74"/>
      <c r="G225" s="74"/>
      <c r="H225" s="74"/>
      <c r="I225" s="74"/>
      <c r="J225" s="74"/>
      <c r="K225" s="74"/>
      <c r="L225" s="74"/>
      <c r="M225" s="74"/>
      <c r="N225" s="74">
        <f t="shared" si="33"/>
        <v>0.1234188</v>
      </c>
      <c r="O225" s="84">
        <v>0.1234188</v>
      </c>
      <c r="P225" s="84">
        <f t="shared" si="34"/>
        <v>0</v>
      </c>
    </row>
    <row r="226" s="61" customFormat="1" customHeight="1" spans="1:16">
      <c r="A226" s="71">
        <v>221</v>
      </c>
      <c r="B226" s="75"/>
      <c r="C226" s="73" t="s">
        <v>421</v>
      </c>
      <c r="D226" s="74">
        <v>0.100375</v>
      </c>
      <c r="E226" s="74">
        <f>D226*E5</f>
        <v>0.0301125</v>
      </c>
      <c r="F226" s="74"/>
      <c r="G226" s="74"/>
      <c r="H226" s="74"/>
      <c r="I226" s="74"/>
      <c r="J226" s="74"/>
      <c r="K226" s="74"/>
      <c r="L226" s="74"/>
      <c r="M226" s="74"/>
      <c r="N226" s="74">
        <f t="shared" si="33"/>
        <v>0.0301125</v>
      </c>
      <c r="O226" s="84">
        <v>0.0301125</v>
      </c>
      <c r="P226" s="84">
        <f t="shared" si="34"/>
        <v>0</v>
      </c>
    </row>
    <row r="227" s="61" customFormat="1" customHeight="1" spans="1:16">
      <c r="A227" s="71">
        <v>222</v>
      </c>
      <c r="B227" s="77"/>
      <c r="C227" s="73" t="s">
        <v>422</v>
      </c>
      <c r="D227" s="74">
        <v>0.23971</v>
      </c>
      <c r="E227" s="74">
        <f>D227*E5</f>
        <v>0.071913</v>
      </c>
      <c r="F227" s="74"/>
      <c r="G227" s="74"/>
      <c r="H227" s="74"/>
      <c r="I227" s="74"/>
      <c r="J227" s="74"/>
      <c r="K227" s="74"/>
      <c r="L227" s="74"/>
      <c r="M227" s="74"/>
      <c r="N227" s="74">
        <f t="shared" si="33"/>
        <v>0.071913</v>
      </c>
      <c r="O227" s="84">
        <v>0.071913</v>
      </c>
      <c r="P227" s="84">
        <f t="shared" si="34"/>
        <v>0</v>
      </c>
    </row>
    <row r="228" s="61" customFormat="1" customHeight="1" spans="1:16">
      <c r="A228" s="71">
        <v>223</v>
      </c>
      <c r="B228" s="75"/>
      <c r="C228" s="78"/>
      <c r="D228" s="74"/>
      <c r="E228" s="74"/>
      <c r="F228" s="74"/>
      <c r="G228" s="74"/>
      <c r="H228" s="74"/>
      <c r="J228" s="74"/>
      <c r="K228" s="74"/>
      <c r="L228" s="74"/>
      <c r="M228" s="74"/>
      <c r="N228" s="85">
        <f>SUM(N210:N227)</f>
        <v>1.7543963</v>
      </c>
      <c r="O228" s="80"/>
      <c r="P228" s="84"/>
    </row>
    <row r="229" s="61" customFormat="1" customHeight="1" spans="1:16">
      <c r="A229" s="71">
        <v>224</v>
      </c>
      <c r="B229" s="72" t="s">
        <v>173</v>
      </c>
      <c r="C229" s="73" t="s">
        <v>423</v>
      </c>
      <c r="D229" s="74">
        <v>2.864791</v>
      </c>
      <c r="E229" s="74">
        <v>0.3</v>
      </c>
      <c r="F229" s="74">
        <v>0.25</v>
      </c>
      <c r="G229" s="74">
        <f>(8647.91*G5)/10000</f>
        <v>0.20754984</v>
      </c>
      <c r="H229" s="74"/>
      <c r="I229" s="74"/>
      <c r="J229" s="74"/>
      <c r="K229" s="74"/>
      <c r="L229" s="74"/>
      <c r="M229" s="74"/>
      <c r="N229" s="74">
        <f t="shared" ref="N229:N240" si="35">SUM(E229:M229)</f>
        <v>0.75754984</v>
      </c>
      <c r="O229" s="84">
        <v>0.7161725</v>
      </c>
      <c r="P229" s="84">
        <f t="shared" ref="P229:P240" si="36">N229-O229</f>
        <v>0.04137734</v>
      </c>
    </row>
    <row r="230" s="61" customFormat="1" customHeight="1" spans="1:16">
      <c r="A230" s="71">
        <v>225</v>
      </c>
      <c r="B230" s="75"/>
      <c r="C230" s="73" t="s">
        <v>424</v>
      </c>
      <c r="D230" s="74">
        <v>0.520554</v>
      </c>
      <c r="E230" s="74">
        <f>D230*E5</f>
        <v>0.1561662</v>
      </c>
      <c r="F230" s="74"/>
      <c r="G230" s="74"/>
      <c r="H230" s="74"/>
      <c r="I230" s="74"/>
      <c r="J230" s="74"/>
      <c r="K230" s="74"/>
      <c r="L230" s="74"/>
      <c r="M230" s="74"/>
      <c r="N230" s="74">
        <f t="shared" si="35"/>
        <v>0.1561662</v>
      </c>
      <c r="O230" s="84">
        <v>0.1561607</v>
      </c>
      <c r="P230" s="84">
        <f t="shared" si="36"/>
        <v>5.49999999999162e-6</v>
      </c>
    </row>
    <row r="231" s="61" customFormat="1" customHeight="1" spans="1:16">
      <c r="A231" s="71">
        <v>226</v>
      </c>
      <c r="B231" s="75"/>
      <c r="C231" s="73" t="s">
        <v>425</v>
      </c>
      <c r="D231" s="74">
        <v>6.629268</v>
      </c>
      <c r="E231" s="74">
        <v>0.3</v>
      </c>
      <c r="F231" s="74">
        <v>0.25</v>
      </c>
      <c r="G231" s="74">
        <v>0.48</v>
      </c>
      <c r="H231" s="74">
        <v>0.46</v>
      </c>
      <c r="I231" s="74">
        <f>(6292.68*I5)/10000</f>
        <v>0.13214628</v>
      </c>
      <c r="J231" s="74"/>
      <c r="K231" s="74"/>
      <c r="L231" s="74"/>
      <c r="M231" s="74"/>
      <c r="N231" s="74">
        <f t="shared" si="35"/>
        <v>1.62214628</v>
      </c>
      <c r="O231" s="84">
        <v>1.54700096</v>
      </c>
      <c r="P231" s="84">
        <f t="shared" si="36"/>
        <v>0.0751453200000001</v>
      </c>
    </row>
    <row r="232" s="61" customFormat="1" customHeight="1" spans="1:16">
      <c r="A232" s="71">
        <v>227</v>
      </c>
      <c r="B232" s="75"/>
      <c r="C232" s="73" t="s">
        <v>426</v>
      </c>
      <c r="D232" s="74">
        <v>3.242372</v>
      </c>
      <c r="E232" s="74">
        <v>0.3</v>
      </c>
      <c r="F232" s="74">
        <v>0.25</v>
      </c>
      <c r="G232" s="74">
        <f>(12423.72*G5)/10000</f>
        <v>0.29816928</v>
      </c>
      <c r="H232" s="74"/>
      <c r="I232" s="74"/>
      <c r="J232" s="74"/>
      <c r="K232" s="74"/>
      <c r="L232" s="74"/>
      <c r="M232" s="74"/>
      <c r="N232" s="74">
        <f t="shared" si="35"/>
        <v>0.84816928</v>
      </c>
      <c r="O232" s="84">
        <v>0.78845375</v>
      </c>
      <c r="P232" s="84">
        <f t="shared" si="36"/>
        <v>0.05971553</v>
      </c>
    </row>
    <row r="233" s="61" customFormat="1" customHeight="1" spans="1:16">
      <c r="A233" s="71">
        <v>228</v>
      </c>
      <c r="B233" s="75"/>
      <c r="C233" s="73" t="s">
        <v>427</v>
      </c>
      <c r="D233" s="74">
        <v>0.445584</v>
      </c>
      <c r="E233" s="74">
        <f>D233*E5</f>
        <v>0.1336752</v>
      </c>
      <c r="F233" s="74"/>
      <c r="G233" s="74"/>
      <c r="H233" s="74"/>
      <c r="I233" s="74"/>
      <c r="J233" s="74"/>
      <c r="K233" s="74"/>
      <c r="L233" s="74"/>
      <c r="M233" s="74"/>
      <c r="N233" s="74">
        <f t="shared" si="35"/>
        <v>0.1336752</v>
      </c>
      <c r="O233" s="84">
        <v>0.1336475</v>
      </c>
      <c r="P233" s="84">
        <f t="shared" si="36"/>
        <v>2.76999999999916e-5</v>
      </c>
    </row>
    <row r="234" s="61" customFormat="1" customHeight="1" spans="1:16">
      <c r="A234" s="71">
        <v>229</v>
      </c>
      <c r="B234" s="75"/>
      <c r="C234" s="73" t="s">
        <v>428</v>
      </c>
      <c r="D234" s="74">
        <v>4.240499</v>
      </c>
      <c r="E234" s="74">
        <v>0.3</v>
      </c>
      <c r="F234" s="74">
        <v>0.25</v>
      </c>
      <c r="G234" s="74">
        <v>0.48</v>
      </c>
      <c r="H234" s="74">
        <f>(2404.99*H5)/10000</f>
        <v>0.05531477</v>
      </c>
      <c r="I234" s="74"/>
      <c r="J234" s="74"/>
      <c r="K234" s="74"/>
      <c r="L234" s="74"/>
      <c r="M234" s="74"/>
      <c r="N234" s="74">
        <f t="shared" si="35"/>
        <v>1.08531477</v>
      </c>
      <c r="O234" s="84">
        <v>1.03673875</v>
      </c>
      <c r="P234" s="84">
        <f t="shared" si="36"/>
        <v>0.0485760200000001</v>
      </c>
    </row>
    <row r="235" s="61" customFormat="1" customHeight="1" spans="1:16">
      <c r="A235" s="71">
        <v>230</v>
      </c>
      <c r="B235" s="75"/>
      <c r="C235" s="73" t="s">
        <v>429</v>
      </c>
      <c r="D235" s="74">
        <v>0.731906</v>
      </c>
      <c r="E235" s="74">
        <f>D235*E5</f>
        <v>0.2195718</v>
      </c>
      <c r="F235" s="74"/>
      <c r="G235" s="74"/>
      <c r="H235" s="74"/>
      <c r="I235" s="74"/>
      <c r="J235" s="74"/>
      <c r="K235" s="74"/>
      <c r="L235" s="74"/>
      <c r="M235" s="74"/>
      <c r="N235" s="74">
        <f t="shared" si="35"/>
        <v>0.2195718</v>
      </c>
      <c r="O235" s="84">
        <v>0.2195538</v>
      </c>
      <c r="P235" s="84">
        <f t="shared" si="36"/>
        <v>1.8000000000018e-5</v>
      </c>
    </row>
    <row r="236" s="61" customFormat="1" customHeight="1" spans="1:16">
      <c r="A236" s="71">
        <v>231</v>
      </c>
      <c r="B236" s="75"/>
      <c r="C236" s="73" t="s">
        <v>430</v>
      </c>
      <c r="D236" s="74">
        <v>0.672304</v>
      </c>
      <c r="E236" s="74">
        <f>D236*E5</f>
        <v>0.2016912</v>
      </c>
      <c r="F236" s="74"/>
      <c r="G236" s="74"/>
      <c r="H236" s="74"/>
      <c r="I236" s="74"/>
      <c r="J236" s="74"/>
      <c r="K236" s="74"/>
      <c r="L236" s="74"/>
      <c r="M236" s="74"/>
      <c r="N236" s="74">
        <f t="shared" si="35"/>
        <v>0.2016912</v>
      </c>
      <c r="O236" s="84">
        <v>0.2017195</v>
      </c>
      <c r="P236" s="84">
        <f t="shared" si="36"/>
        <v>-2.83000000000089e-5</v>
      </c>
    </row>
    <row r="237" s="61" customFormat="1" customHeight="1" spans="1:16">
      <c r="A237" s="71">
        <v>232</v>
      </c>
      <c r="B237" s="75"/>
      <c r="C237" s="73" t="s">
        <v>431</v>
      </c>
      <c r="D237" s="74">
        <v>2.525956</v>
      </c>
      <c r="E237" s="74">
        <v>0.3</v>
      </c>
      <c r="F237" s="74">
        <v>0.25</v>
      </c>
      <c r="G237" s="74">
        <f>(5259.56*G5)/10000</f>
        <v>0.12622944</v>
      </c>
      <c r="H237" s="74"/>
      <c r="I237" s="74"/>
      <c r="J237" s="74"/>
      <c r="K237" s="74"/>
      <c r="L237" s="74"/>
      <c r="M237" s="74"/>
      <c r="N237" s="74">
        <f t="shared" si="35"/>
        <v>0.67622944</v>
      </c>
      <c r="O237" s="84">
        <v>0.63151875</v>
      </c>
      <c r="P237" s="84">
        <f t="shared" si="36"/>
        <v>0.0447106900000001</v>
      </c>
    </row>
    <row r="238" s="61" customFormat="1" customHeight="1" spans="1:16">
      <c r="A238" s="71">
        <v>233</v>
      </c>
      <c r="B238" s="75"/>
      <c r="C238" s="73" t="s">
        <v>174</v>
      </c>
      <c r="D238" s="74">
        <v>0.457918</v>
      </c>
      <c r="E238" s="74">
        <f>D238*E5</f>
        <v>0.1373754</v>
      </c>
      <c r="F238" s="74"/>
      <c r="G238" s="74"/>
      <c r="H238" s="74"/>
      <c r="I238" s="74"/>
      <c r="J238" s="74"/>
      <c r="K238" s="74"/>
      <c r="L238" s="74"/>
      <c r="M238" s="74"/>
      <c r="N238" s="74">
        <f t="shared" si="35"/>
        <v>0.1373754</v>
      </c>
      <c r="O238" s="84">
        <v>0.1374</v>
      </c>
      <c r="P238" s="84">
        <f t="shared" si="36"/>
        <v>-2.45999999999857e-5</v>
      </c>
    </row>
    <row r="239" s="61" customFormat="1" customHeight="1" spans="1:16">
      <c r="A239" s="71">
        <v>234</v>
      </c>
      <c r="B239" s="75"/>
      <c r="C239" s="73" t="s">
        <v>175</v>
      </c>
      <c r="D239" s="74">
        <v>0.822324</v>
      </c>
      <c r="E239" s="74">
        <f>D239*E5</f>
        <v>0.2466972</v>
      </c>
      <c r="F239" s="74"/>
      <c r="G239" s="74"/>
      <c r="H239" s="74"/>
      <c r="I239" s="74"/>
      <c r="J239" s="74"/>
      <c r="K239" s="74"/>
      <c r="L239" s="74"/>
      <c r="M239" s="74"/>
      <c r="N239" s="74">
        <f t="shared" si="35"/>
        <v>0.2466972</v>
      </c>
      <c r="O239" s="84">
        <v>0.2467</v>
      </c>
      <c r="P239" s="84">
        <f t="shared" si="36"/>
        <v>-2.800000000025e-6</v>
      </c>
    </row>
    <row r="240" s="61" customFormat="1" customHeight="1" spans="1:16">
      <c r="A240" s="71">
        <v>235</v>
      </c>
      <c r="B240" s="77"/>
      <c r="C240" s="73" t="s">
        <v>432</v>
      </c>
      <c r="D240" s="74">
        <v>0.809444</v>
      </c>
      <c r="E240" s="74">
        <f>D240*E5</f>
        <v>0.2428332</v>
      </c>
      <c r="F240" s="74"/>
      <c r="G240" s="74"/>
      <c r="H240" s="74"/>
      <c r="I240" s="74"/>
      <c r="J240" s="74"/>
      <c r="K240" s="74"/>
      <c r="L240" s="74"/>
      <c r="M240" s="74"/>
      <c r="N240" s="74">
        <f t="shared" si="35"/>
        <v>0.2428332</v>
      </c>
      <c r="O240" s="84">
        <v>0.242809</v>
      </c>
      <c r="P240" s="84">
        <f t="shared" si="36"/>
        <v>2.41999999999465e-5</v>
      </c>
    </row>
    <row r="241" s="61" customFormat="1" customHeight="1" spans="1:16">
      <c r="A241" s="71">
        <v>236</v>
      </c>
      <c r="B241" s="75"/>
      <c r="C241" s="78"/>
      <c r="D241" s="74"/>
      <c r="E241" s="74"/>
      <c r="F241" s="74"/>
      <c r="G241" s="74"/>
      <c r="H241" s="74"/>
      <c r="J241" s="74"/>
      <c r="K241" s="74"/>
      <c r="L241" s="74"/>
      <c r="M241" s="74"/>
      <c r="N241" s="85">
        <f>SUM(N229:N240)</f>
        <v>6.32741981</v>
      </c>
      <c r="O241" s="80"/>
      <c r="P241" s="84"/>
    </row>
    <row r="242" s="61" customFormat="1" customHeight="1" spans="1:16">
      <c r="A242" s="71">
        <v>237</v>
      </c>
      <c r="B242" s="72" t="s">
        <v>176</v>
      </c>
      <c r="C242" s="73" t="s">
        <v>177</v>
      </c>
      <c r="D242" s="74">
        <v>0.26221</v>
      </c>
      <c r="E242" s="74">
        <f>D242*E5</f>
        <v>0.078663</v>
      </c>
      <c r="F242" s="74"/>
      <c r="G242" s="74"/>
      <c r="H242" s="74"/>
      <c r="I242" s="74"/>
      <c r="J242" s="74"/>
      <c r="K242" s="74"/>
      <c r="L242" s="74"/>
      <c r="M242" s="74"/>
      <c r="N242" s="74">
        <f t="shared" ref="N242:N244" si="37">SUM(E242:M242)</f>
        <v>0.078663</v>
      </c>
      <c r="O242" s="84">
        <v>0.078663</v>
      </c>
      <c r="P242" s="84">
        <f t="shared" ref="P242:P244" si="38">N242-O242</f>
        <v>0</v>
      </c>
    </row>
    <row r="243" s="61" customFormat="1" customHeight="1" spans="1:16">
      <c r="A243" s="71">
        <v>238</v>
      </c>
      <c r="B243" s="75"/>
      <c r="C243" s="73" t="s">
        <v>178</v>
      </c>
      <c r="D243" s="74">
        <v>1.68339</v>
      </c>
      <c r="E243" s="74">
        <v>0.3</v>
      </c>
      <c r="F243" s="74">
        <f>(6833.9*F5)/10000</f>
        <v>0.1708475</v>
      </c>
      <c r="G243" s="74"/>
      <c r="H243" s="74"/>
      <c r="I243" s="74"/>
      <c r="J243" s="74"/>
      <c r="K243" s="74"/>
      <c r="L243" s="74"/>
      <c r="M243" s="74"/>
      <c r="N243" s="74">
        <f t="shared" si="37"/>
        <v>0.4708475</v>
      </c>
      <c r="O243" s="84">
        <v>0.505047</v>
      </c>
      <c r="P243" s="84">
        <f t="shared" si="38"/>
        <v>-0.0341995</v>
      </c>
    </row>
    <row r="244" s="61" customFormat="1" customHeight="1" spans="1:16">
      <c r="A244" s="71">
        <v>239</v>
      </c>
      <c r="B244" s="77"/>
      <c r="C244" s="73" t="s">
        <v>179</v>
      </c>
      <c r="D244" s="74">
        <v>0.09595</v>
      </c>
      <c r="E244" s="74">
        <f>D244*E5</f>
        <v>0.028785</v>
      </c>
      <c r="F244" s="74"/>
      <c r="G244" s="74"/>
      <c r="H244" s="74"/>
      <c r="I244" s="74"/>
      <c r="J244" s="74"/>
      <c r="K244" s="74"/>
      <c r="L244" s="74"/>
      <c r="M244" s="74"/>
      <c r="N244" s="74">
        <f t="shared" si="37"/>
        <v>0.028785</v>
      </c>
      <c r="O244" s="84">
        <v>0.028785</v>
      </c>
      <c r="P244" s="84">
        <f t="shared" si="38"/>
        <v>0</v>
      </c>
    </row>
    <row r="245" s="61" customFormat="1" customHeight="1" spans="1:16">
      <c r="A245" s="71">
        <v>240</v>
      </c>
      <c r="B245" s="75"/>
      <c r="C245" s="78"/>
      <c r="D245" s="74"/>
      <c r="E245" s="74"/>
      <c r="F245" s="74"/>
      <c r="G245" s="74"/>
      <c r="H245" s="74"/>
      <c r="J245" s="74"/>
      <c r="K245" s="74"/>
      <c r="L245" s="74"/>
      <c r="M245" s="74"/>
      <c r="N245" s="85">
        <f>SUM(N242:N244)</f>
        <v>0.5782955</v>
      </c>
      <c r="O245" s="80"/>
      <c r="P245" s="84"/>
    </row>
    <row r="246" s="61" customFormat="1" customHeight="1" spans="1:16">
      <c r="A246" s="71">
        <v>241</v>
      </c>
      <c r="B246" s="72" t="s">
        <v>229</v>
      </c>
      <c r="C246" s="73" t="s">
        <v>433</v>
      </c>
      <c r="D246" s="74">
        <v>0.634325</v>
      </c>
      <c r="E246" s="74">
        <f>D246*E5</f>
        <v>0.1902975</v>
      </c>
      <c r="F246" s="74"/>
      <c r="G246" s="74"/>
      <c r="H246" s="74"/>
      <c r="I246" s="74"/>
      <c r="J246" s="74"/>
      <c r="K246" s="74"/>
      <c r="L246" s="74"/>
      <c r="M246" s="74"/>
      <c r="N246" s="74">
        <f t="shared" ref="N246:N256" si="39">SUM(E246:M246)</f>
        <v>0.1902975</v>
      </c>
      <c r="O246" s="84">
        <v>0.19026</v>
      </c>
      <c r="P246" s="84">
        <f t="shared" ref="P246:P256" si="40">N246-O246</f>
        <v>3.75000000000236e-5</v>
      </c>
    </row>
    <row r="247" s="61" customFormat="1" customHeight="1" spans="1:16">
      <c r="A247" s="71">
        <v>242</v>
      </c>
      <c r="B247" s="75"/>
      <c r="C247" s="73" t="s">
        <v>434</v>
      </c>
      <c r="D247" s="74">
        <v>0.88334</v>
      </c>
      <c r="E247" s="74">
        <f>D247*E5</f>
        <v>0.265002</v>
      </c>
      <c r="F247" s="74"/>
      <c r="G247" s="74"/>
      <c r="H247" s="74"/>
      <c r="I247" s="74"/>
      <c r="J247" s="74"/>
      <c r="K247" s="74"/>
      <c r="L247" s="74"/>
      <c r="M247" s="74"/>
      <c r="N247" s="74">
        <f t="shared" si="39"/>
        <v>0.265002</v>
      </c>
      <c r="O247" s="84">
        <v>0.26505</v>
      </c>
      <c r="P247" s="84">
        <f t="shared" si="40"/>
        <v>-4.79999999999925e-5</v>
      </c>
    </row>
    <row r="248" s="61" customFormat="1" customHeight="1" spans="1:16">
      <c r="A248" s="71">
        <v>243</v>
      </c>
      <c r="B248" s="75"/>
      <c r="C248" s="73" t="s">
        <v>435</v>
      </c>
      <c r="D248" s="74">
        <v>10.556038</v>
      </c>
      <c r="E248" s="74">
        <v>0.3</v>
      </c>
      <c r="F248" s="74">
        <v>0.25</v>
      </c>
      <c r="G248" s="74">
        <v>0.48</v>
      </c>
      <c r="H248" s="74">
        <v>0.46</v>
      </c>
      <c r="I248" s="74">
        <v>0.84</v>
      </c>
      <c r="J248" s="74">
        <f>(5560.38*J5)/10000</f>
        <v>0.1112076</v>
      </c>
      <c r="K248" s="74"/>
      <c r="L248" s="74"/>
      <c r="M248" s="74"/>
      <c r="N248" s="74">
        <f t="shared" si="39"/>
        <v>2.4412076</v>
      </c>
      <c r="O248" s="84">
        <v>2.427872</v>
      </c>
      <c r="P248" s="84">
        <f t="shared" si="40"/>
        <v>0.0133356</v>
      </c>
    </row>
    <row r="249" s="61" customFormat="1" customHeight="1" spans="1:16">
      <c r="A249" s="71">
        <v>244</v>
      </c>
      <c r="B249" s="75"/>
      <c r="C249" s="73" t="s">
        <v>436</v>
      </c>
      <c r="D249" s="74">
        <v>24.631369</v>
      </c>
      <c r="E249" s="74">
        <v>0.3</v>
      </c>
      <c r="F249" s="74">
        <v>0.25</v>
      </c>
      <c r="G249" s="74">
        <v>0.48</v>
      </c>
      <c r="H249" s="74">
        <v>0.46</v>
      </c>
      <c r="I249" s="74">
        <v>0.84</v>
      </c>
      <c r="J249" s="74">
        <v>1</v>
      </c>
      <c r="K249" s="74">
        <v>0.95</v>
      </c>
      <c r="L249" s="74">
        <f>(46313.69*L5)/10000</f>
        <v>0.83364642</v>
      </c>
      <c r="M249" s="74"/>
      <c r="N249" s="74">
        <f t="shared" si="39"/>
        <v>5.11364642</v>
      </c>
      <c r="O249" s="84">
        <v>4.9262346</v>
      </c>
      <c r="P249" s="84">
        <f t="shared" si="40"/>
        <v>0.18741182</v>
      </c>
    </row>
    <row r="250" s="61" customFormat="1" customHeight="1" spans="1:16">
      <c r="A250" s="71">
        <v>245</v>
      </c>
      <c r="B250" s="75"/>
      <c r="C250" s="73" t="s">
        <v>437</v>
      </c>
      <c r="D250" s="74">
        <v>7.714762</v>
      </c>
      <c r="E250" s="74">
        <v>0.3</v>
      </c>
      <c r="F250" s="74">
        <v>0.25</v>
      </c>
      <c r="G250" s="74">
        <v>0.48</v>
      </c>
      <c r="H250" s="74">
        <v>0.46</v>
      </c>
      <c r="I250" s="74">
        <f>(17147.62*I5)/10000</f>
        <v>0.36010002</v>
      </c>
      <c r="J250" s="74"/>
      <c r="K250" s="74"/>
      <c r="L250" s="74"/>
      <c r="M250" s="74"/>
      <c r="N250" s="74">
        <f t="shared" si="39"/>
        <v>1.85010002</v>
      </c>
      <c r="O250" s="84">
        <v>1.80871552</v>
      </c>
      <c r="P250" s="84">
        <f t="shared" si="40"/>
        <v>0.0413844999999999</v>
      </c>
    </row>
    <row r="251" s="61" customFormat="1" customHeight="1" spans="1:16">
      <c r="A251" s="71">
        <v>246</v>
      </c>
      <c r="B251" s="75"/>
      <c r="C251" s="73" t="s">
        <v>438</v>
      </c>
      <c r="D251" s="74">
        <v>9.402312</v>
      </c>
      <c r="E251" s="74">
        <v>0.3</v>
      </c>
      <c r="F251" s="74">
        <v>0.25</v>
      </c>
      <c r="G251" s="74">
        <v>0.48</v>
      </c>
      <c r="H251" s="74">
        <v>0.46</v>
      </c>
      <c r="I251" s="74">
        <f>(34023.12*I5)/10000</f>
        <v>0.71448552</v>
      </c>
      <c r="J251" s="74"/>
      <c r="K251" s="74"/>
      <c r="L251" s="74"/>
      <c r="M251" s="74"/>
      <c r="N251" s="74">
        <f t="shared" si="39"/>
        <v>2.20448552</v>
      </c>
      <c r="O251" s="84">
        <v>2.198536</v>
      </c>
      <c r="P251" s="84">
        <f t="shared" si="40"/>
        <v>0.00594951999999971</v>
      </c>
    </row>
    <row r="252" s="61" customFormat="1" customHeight="1" spans="1:16">
      <c r="A252" s="71">
        <v>247</v>
      </c>
      <c r="B252" s="75"/>
      <c r="C252" s="73" t="s">
        <v>439</v>
      </c>
      <c r="D252" s="74">
        <v>9.550476</v>
      </c>
      <c r="E252" s="74">
        <v>0.3</v>
      </c>
      <c r="F252" s="74">
        <v>0.25</v>
      </c>
      <c r="G252" s="74">
        <v>0.48</v>
      </c>
      <c r="H252" s="74">
        <v>0.46</v>
      </c>
      <c r="I252" s="74">
        <f>(35504.76*I5)/10000</f>
        <v>0.74559996</v>
      </c>
      <c r="J252" s="74"/>
      <c r="K252" s="74"/>
      <c r="L252" s="74"/>
      <c r="M252" s="74"/>
      <c r="N252" s="74">
        <f t="shared" si="39"/>
        <v>2.23559996</v>
      </c>
      <c r="O252" s="84">
        <v>2.23573936</v>
      </c>
      <c r="P252" s="84">
        <f t="shared" si="40"/>
        <v>-0.000139399999999679</v>
      </c>
    </row>
    <row r="253" s="61" customFormat="1" customHeight="1" spans="1:16">
      <c r="A253" s="71">
        <v>248</v>
      </c>
      <c r="B253" s="75"/>
      <c r="C253" s="73" t="s">
        <v>440</v>
      </c>
      <c r="D253" s="74">
        <v>1.71174</v>
      </c>
      <c r="E253" s="74">
        <v>0.3</v>
      </c>
      <c r="F253" s="74">
        <f>(7177.4*F5)/10000</f>
        <v>0.179435</v>
      </c>
      <c r="G253" s="74"/>
      <c r="H253" s="74"/>
      <c r="I253" s="74"/>
      <c r="J253" s="74"/>
      <c r="K253" s="74"/>
      <c r="L253" s="74"/>
      <c r="M253" s="74"/>
      <c r="N253" s="74">
        <f t="shared" si="39"/>
        <v>0.479435</v>
      </c>
      <c r="O253" s="84">
        <v>0.43745</v>
      </c>
      <c r="P253" s="84">
        <f t="shared" si="40"/>
        <v>0.0419849999999999</v>
      </c>
    </row>
    <row r="254" s="61" customFormat="1" customHeight="1" spans="1:16">
      <c r="A254" s="71">
        <v>249</v>
      </c>
      <c r="B254" s="75"/>
      <c r="C254" s="73" t="s">
        <v>441</v>
      </c>
      <c r="D254" s="74">
        <v>11.489</v>
      </c>
      <c r="E254" s="74">
        <v>0.3</v>
      </c>
      <c r="F254" s="74">
        <v>0.25</v>
      </c>
      <c r="G254" s="74">
        <v>0.48</v>
      </c>
      <c r="H254" s="74">
        <v>0.46</v>
      </c>
      <c r="I254" s="74">
        <v>0.84</v>
      </c>
      <c r="J254" s="74">
        <f>(14890*J5)/10000</f>
        <v>0.2978</v>
      </c>
      <c r="K254" s="74"/>
      <c r="L254" s="74"/>
      <c r="M254" s="74"/>
      <c r="N254" s="74">
        <f t="shared" si="39"/>
        <v>2.6278</v>
      </c>
      <c r="O254" s="84">
        <v>2.52078121</v>
      </c>
      <c r="P254" s="84">
        <f t="shared" si="40"/>
        <v>0.10701879</v>
      </c>
    </row>
    <row r="255" s="61" customFormat="1" customHeight="1" spans="1:16">
      <c r="A255" s="71">
        <v>250</v>
      </c>
      <c r="B255" s="75"/>
      <c r="C255" s="73" t="s">
        <v>442</v>
      </c>
      <c r="D255" s="74">
        <v>9.567548</v>
      </c>
      <c r="E255" s="74">
        <v>0.3</v>
      </c>
      <c r="F255" s="74">
        <v>0.25</v>
      </c>
      <c r="G255" s="74">
        <v>0.48</v>
      </c>
      <c r="H255" s="74">
        <v>0.46</v>
      </c>
      <c r="I255" s="74">
        <f>(35675.48*I5)/10000</f>
        <v>0.74918508</v>
      </c>
      <c r="J255" s="74"/>
      <c r="K255" s="74"/>
      <c r="L255" s="74"/>
      <c r="M255" s="74"/>
      <c r="N255" s="74">
        <f t="shared" si="39"/>
        <v>2.23918508</v>
      </c>
      <c r="O255" s="84">
        <v>2.111188</v>
      </c>
      <c r="P255" s="84">
        <f t="shared" si="40"/>
        <v>0.12799708</v>
      </c>
    </row>
    <row r="256" s="61" customFormat="1" customHeight="1" spans="1:16">
      <c r="A256" s="71">
        <v>251</v>
      </c>
      <c r="B256" s="77"/>
      <c r="C256" s="73" t="s">
        <v>443</v>
      </c>
      <c r="D256" s="74">
        <v>0.5133</v>
      </c>
      <c r="E256" s="74">
        <f>D256*E5</f>
        <v>0.15399</v>
      </c>
      <c r="F256" s="74"/>
      <c r="G256" s="74"/>
      <c r="H256" s="74"/>
      <c r="I256" s="74"/>
      <c r="J256" s="74"/>
      <c r="K256" s="74"/>
      <c r="L256" s="74"/>
      <c r="M256" s="74"/>
      <c r="N256" s="74">
        <f t="shared" si="39"/>
        <v>0.15399</v>
      </c>
      <c r="O256" s="84">
        <v>0.15399</v>
      </c>
      <c r="P256" s="84">
        <f t="shared" si="40"/>
        <v>0</v>
      </c>
    </row>
    <row r="257" s="61" customFormat="1" customHeight="1" spans="1:16">
      <c r="A257" s="71">
        <v>252</v>
      </c>
      <c r="B257" s="75"/>
      <c r="C257" s="78"/>
      <c r="D257" s="74"/>
      <c r="E257" s="74"/>
      <c r="F257" s="74"/>
      <c r="G257" s="74"/>
      <c r="H257" s="74"/>
      <c r="J257" s="74"/>
      <c r="K257" s="74"/>
      <c r="L257" s="74"/>
      <c r="M257" s="74"/>
      <c r="N257" s="85">
        <f>SUM(N246:N256)</f>
        <v>19.8007491</v>
      </c>
      <c r="O257" s="80"/>
      <c r="P257" s="84"/>
    </row>
    <row r="258" s="61" customFormat="1" customHeight="1" spans="1:16">
      <c r="A258" s="71">
        <v>253</v>
      </c>
      <c r="B258" s="72" t="s">
        <v>180</v>
      </c>
      <c r="C258" s="73" t="s">
        <v>444</v>
      </c>
      <c r="D258" s="74">
        <v>0.212895</v>
      </c>
      <c r="E258" s="74">
        <f>D258*E5</f>
        <v>0.0638685</v>
      </c>
      <c r="F258" s="74"/>
      <c r="G258" s="74"/>
      <c r="H258" s="74"/>
      <c r="I258" s="74"/>
      <c r="J258" s="74"/>
      <c r="K258" s="74"/>
      <c r="L258" s="74"/>
      <c r="M258" s="74"/>
      <c r="N258" s="74">
        <f t="shared" ref="N258:N263" si="41">SUM(E258:M258)</f>
        <v>0.0638685</v>
      </c>
      <c r="O258" s="84">
        <v>0.063903</v>
      </c>
      <c r="P258" s="84">
        <f t="shared" ref="P258:P263" si="42">N258-O258</f>
        <v>-3.45000000000067e-5</v>
      </c>
    </row>
    <row r="259" s="61" customFormat="1" customHeight="1" spans="1:16">
      <c r="A259" s="71">
        <v>254</v>
      </c>
      <c r="B259" s="75"/>
      <c r="C259" s="73" t="s">
        <v>445</v>
      </c>
      <c r="D259" s="74">
        <v>0.15289</v>
      </c>
      <c r="E259" s="74">
        <f>D259*E5</f>
        <v>0.045867</v>
      </c>
      <c r="F259" s="74"/>
      <c r="G259" s="74"/>
      <c r="H259" s="74"/>
      <c r="I259" s="74"/>
      <c r="J259" s="74"/>
      <c r="K259" s="74"/>
      <c r="L259" s="74"/>
      <c r="M259" s="74"/>
      <c r="N259" s="74">
        <f t="shared" si="41"/>
        <v>0.045867</v>
      </c>
      <c r="O259" s="84">
        <v>0.04587</v>
      </c>
      <c r="P259" s="84">
        <f t="shared" si="42"/>
        <v>-3.000000000003e-6</v>
      </c>
    </row>
    <row r="260" s="61" customFormat="1" customHeight="1" spans="1:16">
      <c r="A260" s="71">
        <v>255</v>
      </c>
      <c r="B260" s="75"/>
      <c r="C260" s="73" t="s">
        <v>446</v>
      </c>
      <c r="D260" s="74">
        <v>0.081663</v>
      </c>
      <c r="E260" s="74">
        <f>D260*E5</f>
        <v>0.0244989</v>
      </c>
      <c r="F260" s="74"/>
      <c r="G260" s="74"/>
      <c r="H260" s="74"/>
      <c r="I260" s="74"/>
      <c r="J260" s="74"/>
      <c r="K260" s="74"/>
      <c r="L260" s="74"/>
      <c r="M260" s="74"/>
      <c r="N260" s="74">
        <f t="shared" si="41"/>
        <v>0.0244989</v>
      </c>
      <c r="O260" s="84">
        <v>0.0245255</v>
      </c>
      <c r="P260" s="84">
        <f t="shared" si="42"/>
        <v>-2.65999999999982e-5</v>
      </c>
    </row>
    <row r="261" s="61" customFormat="1" customHeight="1" spans="1:16">
      <c r="A261" s="71">
        <v>256</v>
      </c>
      <c r="B261" s="75"/>
      <c r="C261" s="73" t="s">
        <v>447</v>
      </c>
      <c r="D261" s="74">
        <v>0.027985</v>
      </c>
      <c r="E261" s="74">
        <f>D261*E5</f>
        <v>0.0083955</v>
      </c>
      <c r="F261" s="74"/>
      <c r="G261" s="74"/>
      <c r="H261" s="74"/>
      <c r="I261" s="74"/>
      <c r="J261" s="74"/>
      <c r="K261" s="74"/>
      <c r="L261" s="74"/>
      <c r="M261" s="74"/>
      <c r="N261" s="74">
        <f t="shared" si="41"/>
        <v>0.0083955</v>
      </c>
      <c r="O261" s="84">
        <v>0.0083955</v>
      </c>
      <c r="P261" s="84">
        <f t="shared" si="42"/>
        <v>0</v>
      </c>
    </row>
    <row r="262" s="61" customFormat="1" customHeight="1" spans="1:16">
      <c r="A262" s="71">
        <v>257</v>
      </c>
      <c r="B262" s="75"/>
      <c r="C262" s="73" t="s">
        <v>181</v>
      </c>
      <c r="D262" s="74">
        <v>0</v>
      </c>
      <c r="E262" s="74"/>
      <c r="F262" s="74"/>
      <c r="G262" s="74"/>
      <c r="H262" s="74"/>
      <c r="I262" s="74"/>
      <c r="J262" s="74"/>
      <c r="K262" s="74"/>
      <c r="L262" s="74"/>
      <c r="M262" s="74"/>
      <c r="N262" s="74">
        <f t="shared" si="41"/>
        <v>0</v>
      </c>
      <c r="O262" s="80">
        <v>0</v>
      </c>
      <c r="P262" s="84">
        <f t="shared" si="42"/>
        <v>0</v>
      </c>
    </row>
    <row r="263" s="61" customFormat="1" customHeight="1" spans="1:16">
      <c r="A263" s="71">
        <v>258</v>
      </c>
      <c r="B263" s="77"/>
      <c r="C263" s="73" t="s">
        <v>182</v>
      </c>
      <c r="D263" s="74">
        <v>0</v>
      </c>
      <c r="E263" s="74"/>
      <c r="F263" s="74"/>
      <c r="G263" s="74"/>
      <c r="H263" s="74"/>
      <c r="I263" s="74"/>
      <c r="J263" s="74"/>
      <c r="K263" s="74"/>
      <c r="L263" s="74"/>
      <c r="M263" s="74"/>
      <c r="N263" s="74">
        <f t="shared" si="41"/>
        <v>0</v>
      </c>
      <c r="O263" s="80">
        <v>0</v>
      </c>
      <c r="P263" s="84">
        <f t="shared" si="42"/>
        <v>0</v>
      </c>
    </row>
    <row r="264" s="61" customFormat="1" customHeight="1" spans="1:16">
      <c r="A264" s="71">
        <v>259</v>
      </c>
      <c r="B264" s="75"/>
      <c r="C264" s="78"/>
      <c r="D264" s="74"/>
      <c r="E264" s="74"/>
      <c r="F264" s="74"/>
      <c r="G264" s="74"/>
      <c r="H264" s="74"/>
      <c r="J264" s="74"/>
      <c r="K264" s="74"/>
      <c r="L264" s="74"/>
      <c r="M264" s="74"/>
      <c r="N264" s="85">
        <f>SUM(N258:N263)</f>
        <v>0.1426299</v>
      </c>
      <c r="O264" s="80"/>
      <c r="P264" s="84"/>
    </row>
    <row r="265" s="61" customFormat="1" customHeight="1" spans="1:16">
      <c r="A265" s="71">
        <v>260</v>
      </c>
      <c r="B265" s="72" t="s">
        <v>215</v>
      </c>
      <c r="C265" s="73" t="s">
        <v>448</v>
      </c>
      <c r="D265" s="74">
        <v>86.088329</v>
      </c>
      <c r="E265" s="74"/>
      <c r="F265" s="74"/>
      <c r="G265" s="74"/>
      <c r="H265" s="74"/>
      <c r="J265" s="74"/>
      <c r="K265" s="74"/>
      <c r="L265" s="74"/>
      <c r="M265" s="74">
        <v>5</v>
      </c>
      <c r="N265" s="74">
        <f t="shared" ref="N265:N297" si="43">SUM(E265:M265)</f>
        <v>5</v>
      </c>
      <c r="O265" s="84">
        <v>10</v>
      </c>
      <c r="P265" s="84">
        <f t="shared" ref="P265:P297" si="44">N265-O265</f>
        <v>-5</v>
      </c>
    </row>
    <row r="266" s="61" customFormat="1" customHeight="1" spans="1:16">
      <c r="A266" s="71">
        <v>261</v>
      </c>
      <c r="B266" s="75"/>
      <c r="C266" s="73" t="s">
        <v>449</v>
      </c>
      <c r="D266" s="74">
        <v>31.247627</v>
      </c>
      <c r="E266" s="74"/>
      <c r="F266" s="74"/>
      <c r="G266" s="74"/>
      <c r="H266" s="74"/>
      <c r="I266" s="74"/>
      <c r="J266" s="74"/>
      <c r="K266" s="74"/>
      <c r="L266" s="74"/>
      <c r="M266" s="74">
        <v>5</v>
      </c>
      <c r="N266" s="74">
        <f t="shared" si="43"/>
        <v>5</v>
      </c>
      <c r="O266" s="84">
        <v>6.075404</v>
      </c>
      <c r="P266" s="84">
        <f t="shared" si="44"/>
        <v>-1.075404</v>
      </c>
    </row>
    <row r="267" s="61" customFormat="1" customHeight="1" spans="1:16">
      <c r="A267" s="71">
        <v>262</v>
      </c>
      <c r="B267" s="75"/>
      <c r="C267" s="73" t="s">
        <v>450</v>
      </c>
      <c r="D267" s="74">
        <v>29.641085</v>
      </c>
      <c r="E267" s="74">
        <v>0.3</v>
      </c>
      <c r="F267" s="74">
        <v>0.25</v>
      </c>
      <c r="G267" s="74">
        <v>0.48</v>
      </c>
      <c r="H267" s="74">
        <v>0.46</v>
      </c>
      <c r="I267" s="74">
        <v>0.84</v>
      </c>
      <c r="J267" s="74">
        <v>1</v>
      </c>
      <c r="K267" s="74">
        <v>0.95</v>
      </c>
      <c r="L267" s="74">
        <f>(96410.85*L5)/10000</f>
        <v>1.7353953</v>
      </c>
      <c r="M267" s="74"/>
      <c r="N267" s="74">
        <f t="shared" si="43"/>
        <v>6.0153953</v>
      </c>
      <c r="O267" s="84">
        <v>5.7577596</v>
      </c>
      <c r="P267" s="84">
        <f t="shared" si="44"/>
        <v>0.257635700000001</v>
      </c>
    </row>
    <row r="268" s="61" customFormat="1" customHeight="1" spans="1:16">
      <c r="A268" s="71">
        <v>263</v>
      </c>
      <c r="B268" s="75"/>
      <c r="C268" s="73" t="s">
        <v>451</v>
      </c>
      <c r="D268" s="74">
        <v>5.702987</v>
      </c>
      <c r="E268" s="74">
        <v>0.3</v>
      </c>
      <c r="F268" s="74">
        <v>0.25</v>
      </c>
      <c r="G268" s="74">
        <v>0.48</v>
      </c>
      <c r="H268" s="74">
        <f>(17029.87*H5)/10000</f>
        <v>0.39168701</v>
      </c>
      <c r="I268" s="74"/>
      <c r="J268" s="74"/>
      <c r="K268" s="74"/>
      <c r="L268" s="74"/>
      <c r="M268" s="74"/>
      <c r="N268" s="74">
        <f t="shared" si="43"/>
        <v>1.42168701</v>
      </c>
      <c r="O268" s="84">
        <v>1.37031251</v>
      </c>
      <c r="P268" s="84">
        <f t="shared" si="44"/>
        <v>0.0513745000000001</v>
      </c>
    </row>
    <row r="269" s="61" customFormat="1" customHeight="1" spans="1:16">
      <c r="A269" s="71">
        <v>264</v>
      </c>
      <c r="B269" s="75"/>
      <c r="C269" s="66" t="s">
        <v>452</v>
      </c>
      <c r="D269" s="74">
        <v>0.9825682</v>
      </c>
      <c r="E269" s="74">
        <f>D269*E5</f>
        <v>0.29477046</v>
      </c>
      <c r="F269" s="74"/>
      <c r="G269" s="74"/>
      <c r="H269" s="74"/>
      <c r="I269" s="74"/>
      <c r="J269" s="74"/>
      <c r="K269" s="74"/>
      <c r="L269" s="74"/>
      <c r="M269" s="74"/>
      <c r="N269" s="74">
        <f t="shared" si="43"/>
        <v>0.29477046</v>
      </c>
      <c r="O269" s="84">
        <v>0.29481826</v>
      </c>
      <c r="P269" s="84">
        <f t="shared" si="44"/>
        <v>-4.77999999999867e-5</v>
      </c>
    </row>
    <row r="270" s="61" customFormat="1" customHeight="1" spans="1:16">
      <c r="A270" s="71">
        <v>265</v>
      </c>
      <c r="B270" s="75"/>
      <c r="C270" s="73" t="s">
        <v>453</v>
      </c>
      <c r="D270" s="74">
        <v>23.840342</v>
      </c>
      <c r="E270" s="74">
        <v>0.3</v>
      </c>
      <c r="F270" s="74">
        <v>0.25</v>
      </c>
      <c r="G270" s="74">
        <v>0.48</v>
      </c>
      <c r="H270" s="74">
        <v>0.46</v>
      </c>
      <c r="I270" s="74">
        <v>0.84</v>
      </c>
      <c r="J270" s="74">
        <v>1</v>
      </c>
      <c r="K270" s="74">
        <v>0.95</v>
      </c>
      <c r="L270" s="74">
        <f>(38403.42*L5)/10000</f>
        <v>0.69126156</v>
      </c>
      <c r="M270" s="74"/>
      <c r="N270" s="74">
        <f t="shared" si="43"/>
        <v>4.97126156</v>
      </c>
      <c r="O270" s="84">
        <v>4.86140651</v>
      </c>
      <c r="P270" s="84">
        <f t="shared" si="44"/>
        <v>0.10985505</v>
      </c>
    </row>
    <row r="271" s="61" customFormat="1" customHeight="1" spans="1:16">
      <c r="A271" s="71">
        <v>266</v>
      </c>
      <c r="B271" s="75"/>
      <c r="C271" s="73" t="s">
        <v>454</v>
      </c>
      <c r="D271" s="74">
        <v>26.680128</v>
      </c>
      <c r="E271" s="74">
        <v>0.3</v>
      </c>
      <c r="F271" s="74">
        <v>0.25</v>
      </c>
      <c r="G271" s="74">
        <v>0.48</v>
      </c>
      <c r="H271" s="74">
        <v>0.46</v>
      </c>
      <c r="I271" s="74">
        <v>0.84</v>
      </c>
      <c r="J271" s="74">
        <v>1</v>
      </c>
      <c r="K271" s="74">
        <v>0.95</v>
      </c>
      <c r="L271" s="74">
        <f>(66801.28*L5)/10000</f>
        <v>1.20242304</v>
      </c>
      <c r="M271" s="74"/>
      <c r="N271" s="74">
        <f t="shared" si="43"/>
        <v>5.48242304</v>
      </c>
      <c r="O271" s="84">
        <v>5.25925994</v>
      </c>
      <c r="P271" s="84">
        <f t="shared" si="44"/>
        <v>0.223163100000001</v>
      </c>
    </row>
    <row r="272" s="61" customFormat="1" customHeight="1" spans="1:16">
      <c r="A272" s="71">
        <v>267</v>
      </c>
      <c r="B272" s="75"/>
      <c r="C272" s="73" t="s">
        <v>455</v>
      </c>
      <c r="D272" s="74">
        <v>46.395296</v>
      </c>
      <c r="E272" s="74"/>
      <c r="F272" s="74"/>
      <c r="G272" s="74"/>
      <c r="H272" s="74"/>
      <c r="I272" s="74"/>
      <c r="J272" s="74"/>
      <c r="K272" s="74"/>
      <c r="L272" s="74"/>
      <c r="M272" s="74">
        <v>5</v>
      </c>
      <c r="N272" s="74">
        <f t="shared" si="43"/>
        <v>5</v>
      </c>
      <c r="O272" s="84">
        <v>8.3511356</v>
      </c>
      <c r="P272" s="84">
        <f t="shared" si="44"/>
        <v>-3.3511356</v>
      </c>
    </row>
    <row r="273" s="61" customFormat="1" customHeight="1" spans="1:16">
      <c r="A273" s="71">
        <v>268</v>
      </c>
      <c r="B273" s="75"/>
      <c r="C273" s="73" t="s">
        <v>456</v>
      </c>
      <c r="D273" s="74">
        <v>0.930698</v>
      </c>
      <c r="E273" s="74">
        <f>D273*E5</f>
        <v>0.2792094</v>
      </c>
      <c r="F273" s="74"/>
      <c r="G273" s="74"/>
      <c r="H273" s="74"/>
      <c r="I273" s="74"/>
      <c r="J273" s="74"/>
      <c r="K273" s="74"/>
      <c r="L273" s="74"/>
      <c r="M273" s="74"/>
      <c r="N273" s="74">
        <f t="shared" si="43"/>
        <v>0.2792094</v>
      </c>
      <c r="O273" s="84">
        <v>0.279169</v>
      </c>
      <c r="P273" s="84">
        <f t="shared" si="44"/>
        <v>4.03999999999405e-5</v>
      </c>
    </row>
    <row r="274" s="61" customFormat="1" customHeight="1" spans="1:16">
      <c r="A274" s="71">
        <v>269</v>
      </c>
      <c r="B274" s="75"/>
      <c r="C274" s="73" t="s">
        <v>457</v>
      </c>
      <c r="D274" s="74">
        <v>2.725383</v>
      </c>
      <c r="E274" s="74">
        <v>0.3</v>
      </c>
      <c r="F274" s="74">
        <v>0.25</v>
      </c>
      <c r="G274" s="74">
        <f>(7253.83*G5)/10000</f>
        <v>0.17409192</v>
      </c>
      <c r="H274" s="74"/>
      <c r="I274" s="74"/>
      <c r="J274" s="74"/>
      <c r="K274" s="74"/>
      <c r="L274" s="74"/>
      <c r="M274" s="74"/>
      <c r="N274" s="74">
        <f t="shared" si="43"/>
        <v>0.72409192</v>
      </c>
      <c r="O274" s="84">
        <v>0.722573</v>
      </c>
      <c r="P274" s="84">
        <f t="shared" si="44"/>
        <v>0.00151892000000009</v>
      </c>
    </row>
    <row r="275" s="61" customFormat="1" customHeight="1" spans="1:16">
      <c r="A275" s="71">
        <v>270</v>
      </c>
      <c r="B275" s="75"/>
      <c r="C275" s="73" t="s">
        <v>458</v>
      </c>
      <c r="D275" s="74">
        <v>12.148552</v>
      </c>
      <c r="E275" s="74">
        <v>0.3</v>
      </c>
      <c r="F275" s="74">
        <v>0.25</v>
      </c>
      <c r="G275" s="74">
        <v>0.48</v>
      </c>
      <c r="H275" s="74">
        <v>0.46</v>
      </c>
      <c r="I275" s="74">
        <v>0.84</v>
      </c>
      <c r="J275" s="74">
        <f>(21485.52*J5)/10000</f>
        <v>0.4297104</v>
      </c>
      <c r="K275" s="74"/>
      <c r="L275" s="74"/>
      <c r="M275" s="74"/>
      <c r="N275" s="74">
        <f t="shared" si="43"/>
        <v>2.7597104</v>
      </c>
      <c r="O275" s="84">
        <v>2.64333706</v>
      </c>
      <c r="P275" s="84">
        <f t="shared" si="44"/>
        <v>0.11637334</v>
      </c>
    </row>
    <row r="276" s="61" customFormat="1" customHeight="1" spans="1:16">
      <c r="A276" s="71">
        <v>271</v>
      </c>
      <c r="B276" s="75"/>
      <c r="C276" s="73" t="s">
        <v>459</v>
      </c>
      <c r="D276" s="74">
        <v>6.046315</v>
      </c>
      <c r="E276" s="74">
        <v>0.3</v>
      </c>
      <c r="F276" s="74">
        <v>0.25</v>
      </c>
      <c r="G276" s="74">
        <v>0.48</v>
      </c>
      <c r="H276" s="74">
        <v>0.46</v>
      </c>
      <c r="I276" s="74">
        <f>(463.15*I5)/10000</f>
        <v>0.00972615</v>
      </c>
      <c r="J276" s="74"/>
      <c r="K276" s="74"/>
      <c r="L276" s="74"/>
      <c r="M276" s="74"/>
      <c r="N276" s="74">
        <f t="shared" si="43"/>
        <v>1.49972615</v>
      </c>
      <c r="O276" s="84">
        <v>1.43057125</v>
      </c>
      <c r="P276" s="84">
        <f t="shared" si="44"/>
        <v>0.0691549</v>
      </c>
    </row>
    <row r="277" s="61" customFormat="1" customHeight="1" spans="1:16">
      <c r="A277" s="71">
        <v>272</v>
      </c>
      <c r="B277" s="75"/>
      <c r="C277" s="73" t="s">
        <v>460</v>
      </c>
      <c r="D277" s="74">
        <v>49.47909</v>
      </c>
      <c r="E277" s="74"/>
      <c r="F277" s="74"/>
      <c r="G277" s="74"/>
      <c r="H277" s="74"/>
      <c r="I277" s="74"/>
      <c r="J277" s="74"/>
      <c r="K277" s="74"/>
      <c r="L277" s="74"/>
      <c r="M277" s="74">
        <v>5</v>
      </c>
      <c r="N277" s="74">
        <f t="shared" si="43"/>
        <v>5</v>
      </c>
      <c r="O277" s="84">
        <v>8.90625018</v>
      </c>
      <c r="P277" s="84">
        <f t="shared" si="44"/>
        <v>-3.90625018</v>
      </c>
    </row>
    <row r="278" s="61" customFormat="1" customHeight="1" spans="1:16">
      <c r="A278" s="71">
        <v>273</v>
      </c>
      <c r="B278" s="75"/>
      <c r="C278" s="73" t="s">
        <v>461</v>
      </c>
      <c r="D278" s="74">
        <v>4.079925</v>
      </c>
      <c r="E278" s="74">
        <v>0.3</v>
      </c>
      <c r="F278" s="74">
        <v>0.25</v>
      </c>
      <c r="G278" s="74">
        <v>0.48</v>
      </c>
      <c r="H278" s="74">
        <f>(799.25*H5)/10000</f>
        <v>0.01838275</v>
      </c>
      <c r="I278" s="74"/>
      <c r="J278" s="74"/>
      <c r="K278" s="74"/>
      <c r="L278" s="74"/>
      <c r="M278" s="74"/>
      <c r="N278" s="74">
        <f t="shared" si="43"/>
        <v>1.04838275</v>
      </c>
      <c r="O278" s="84">
        <v>1.0385616</v>
      </c>
      <c r="P278" s="84">
        <f t="shared" si="44"/>
        <v>0.00982115000000006</v>
      </c>
    </row>
    <row r="279" s="61" customFormat="1" customHeight="1" spans="1:16">
      <c r="A279" s="71">
        <v>274</v>
      </c>
      <c r="B279" s="75"/>
      <c r="C279" s="73" t="s">
        <v>462</v>
      </c>
      <c r="D279" s="74">
        <v>16.563662</v>
      </c>
      <c r="E279" s="74">
        <v>0.3</v>
      </c>
      <c r="F279" s="74">
        <v>0.25</v>
      </c>
      <c r="G279" s="74">
        <v>0.48</v>
      </c>
      <c r="H279" s="74">
        <v>0.46</v>
      </c>
      <c r="I279" s="74">
        <v>0.84</v>
      </c>
      <c r="J279" s="74">
        <v>1</v>
      </c>
      <c r="K279" s="74">
        <f>(15636.62*K5)/10000</f>
        <v>0.29709578</v>
      </c>
      <c r="L279" s="74"/>
      <c r="M279" s="74"/>
      <c r="N279" s="74">
        <f t="shared" si="43"/>
        <v>3.62709578</v>
      </c>
      <c r="O279" s="84">
        <v>3.47840836</v>
      </c>
      <c r="P279" s="84">
        <f t="shared" si="44"/>
        <v>0.14868742</v>
      </c>
    </row>
    <row r="280" s="61" customFormat="1" customHeight="1" spans="1:16">
      <c r="A280" s="71">
        <v>275</v>
      </c>
      <c r="B280" s="75"/>
      <c r="C280" s="73" t="s">
        <v>463</v>
      </c>
      <c r="D280" s="74">
        <v>12.220206</v>
      </c>
      <c r="E280" s="74">
        <v>0.3</v>
      </c>
      <c r="F280" s="74">
        <v>0.25</v>
      </c>
      <c r="G280" s="74">
        <v>0.48</v>
      </c>
      <c r="H280" s="74">
        <v>0.46</v>
      </c>
      <c r="I280" s="74">
        <v>0.84</v>
      </c>
      <c r="J280" s="74">
        <f>(22202.06*J5)/10000</f>
        <v>0.4440412</v>
      </c>
      <c r="K280" s="74"/>
      <c r="L280" s="74"/>
      <c r="M280" s="74"/>
      <c r="N280" s="74">
        <f t="shared" si="43"/>
        <v>2.7740412</v>
      </c>
      <c r="O280" s="84">
        <v>2.67413211</v>
      </c>
      <c r="P280" s="84">
        <f t="shared" si="44"/>
        <v>0.0999090900000001</v>
      </c>
    </row>
    <row r="281" s="61" customFormat="1" customHeight="1" spans="1:16">
      <c r="A281" s="71">
        <v>276</v>
      </c>
      <c r="B281" s="75"/>
      <c r="C281" s="73" t="s">
        <v>464</v>
      </c>
      <c r="D281" s="74">
        <v>29.62103</v>
      </c>
      <c r="E281" s="74">
        <v>0.3</v>
      </c>
      <c r="F281" s="74">
        <v>0.25</v>
      </c>
      <c r="G281" s="74">
        <v>0.48</v>
      </c>
      <c r="H281" s="74">
        <v>0.46</v>
      </c>
      <c r="I281" s="74">
        <v>0.84</v>
      </c>
      <c r="J281" s="74">
        <v>1</v>
      </c>
      <c r="K281" s="74">
        <v>0.95</v>
      </c>
      <c r="L281" s="74">
        <f>(96210.3*L5)/10000</f>
        <v>1.7317854</v>
      </c>
      <c r="M281" s="74"/>
      <c r="N281" s="74">
        <f t="shared" si="43"/>
        <v>6.0117854</v>
      </c>
      <c r="O281" s="84">
        <v>5.7723312</v>
      </c>
      <c r="P281" s="84">
        <f t="shared" si="44"/>
        <v>0.2394542</v>
      </c>
    </row>
    <row r="282" s="61" customFormat="1" customHeight="1" spans="1:16">
      <c r="A282" s="71">
        <v>277</v>
      </c>
      <c r="B282" s="75"/>
      <c r="C282" s="73" t="s">
        <v>465</v>
      </c>
      <c r="D282" s="74">
        <v>2.370954</v>
      </c>
      <c r="E282" s="74">
        <v>0.3</v>
      </c>
      <c r="F282" s="74">
        <v>0.25</v>
      </c>
      <c r="G282" s="74">
        <f>(3709.54*G5)/10000</f>
        <v>0.08902896</v>
      </c>
      <c r="H282" s="74"/>
      <c r="I282" s="74"/>
      <c r="J282" s="74"/>
      <c r="K282" s="74"/>
      <c r="L282" s="74"/>
      <c r="M282" s="74"/>
      <c r="N282" s="74">
        <f t="shared" si="43"/>
        <v>0.63902896</v>
      </c>
      <c r="O282" s="84">
        <v>0.637204</v>
      </c>
      <c r="P282" s="84">
        <f t="shared" si="44"/>
        <v>0.0018249600000001</v>
      </c>
    </row>
    <row r="283" s="61" customFormat="1" customHeight="1" spans="1:16">
      <c r="A283" s="71">
        <v>278</v>
      </c>
      <c r="B283" s="75"/>
      <c r="C283" s="73" t="s">
        <v>466</v>
      </c>
      <c r="D283" s="74">
        <v>1.808109</v>
      </c>
      <c r="E283" s="74">
        <v>0.3</v>
      </c>
      <c r="F283" s="74">
        <f>(8081.09*F5)/10000</f>
        <v>0.20202725</v>
      </c>
      <c r="G283" s="74"/>
      <c r="H283" s="74"/>
      <c r="I283" s="74"/>
      <c r="J283" s="74"/>
      <c r="K283" s="74"/>
      <c r="L283" s="74"/>
      <c r="M283" s="74"/>
      <c r="N283" s="74">
        <f t="shared" si="43"/>
        <v>0.50202725</v>
      </c>
      <c r="O283" s="84">
        <v>0.4611265</v>
      </c>
      <c r="P283" s="84">
        <f t="shared" si="44"/>
        <v>0.04090075</v>
      </c>
    </row>
    <row r="284" s="61" customFormat="1" customHeight="1" spans="1:16">
      <c r="A284" s="71">
        <v>279</v>
      </c>
      <c r="B284" s="75"/>
      <c r="C284" s="73" t="s">
        <v>467</v>
      </c>
      <c r="D284" s="74">
        <v>17.815469</v>
      </c>
      <c r="E284" s="74">
        <v>0.3</v>
      </c>
      <c r="F284" s="74">
        <v>0.25</v>
      </c>
      <c r="G284" s="74">
        <v>0.48</v>
      </c>
      <c r="H284" s="74">
        <v>0.46</v>
      </c>
      <c r="I284" s="74">
        <v>0.84</v>
      </c>
      <c r="J284" s="74">
        <v>1</v>
      </c>
      <c r="K284" s="74">
        <f>(28154.69*K5)/10000</f>
        <v>0.53493911</v>
      </c>
      <c r="L284" s="74"/>
      <c r="M284" s="74"/>
      <c r="N284" s="74">
        <f t="shared" si="43"/>
        <v>3.86493911</v>
      </c>
      <c r="O284" s="84">
        <v>3.63167</v>
      </c>
      <c r="P284" s="84">
        <f t="shared" si="44"/>
        <v>0.23326911</v>
      </c>
    </row>
    <row r="285" s="61" customFormat="1" customHeight="1" spans="1:16">
      <c r="A285" s="71">
        <v>280</v>
      </c>
      <c r="B285" s="75"/>
      <c r="C285" s="73" t="s">
        <v>468</v>
      </c>
      <c r="D285" s="74">
        <v>28.647075</v>
      </c>
      <c r="E285" s="74">
        <v>0.3</v>
      </c>
      <c r="F285" s="74">
        <v>0.25</v>
      </c>
      <c r="G285" s="74">
        <v>0.48</v>
      </c>
      <c r="H285" s="74">
        <v>0.46</v>
      </c>
      <c r="I285" s="74">
        <v>0.84</v>
      </c>
      <c r="J285" s="74">
        <v>1</v>
      </c>
      <c r="K285" s="74">
        <v>0.95</v>
      </c>
      <c r="L285" s="74">
        <f>(86470.75*L5)/10000</f>
        <v>1.5564735</v>
      </c>
      <c r="M285" s="74"/>
      <c r="N285" s="74">
        <f t="shared" si="43"/>
        <v>5.8364735</v>
      </c>
      <c r="O285" s="84">
        <v>5.5616138</v>
      </c>
      <c r="P285" s="84">
        <f t="shared" si="44"/>
        <v>0.2748597</v>
      </c>
    </row>
    <row r="286" s="61" customFormat="1" customHeight="1" spans="1:16">
      <c r="A286" s="71">
        <v>281</v>
      </c>
      <c r="B286" s="75"/>
      <c r="C286" s="73" t="s">
        <v>469</v>
      </c>
      <c r="D286" s="74">
        <v>17.723316</v>
      </c>
      <c r="E286" s="74">
        <v>0.3</v>
      </c>
      <c r="F286" s="74">
        <v>0.25</v>
      </c>
      <c r="G286" s="74">
        <v>0.48</v>
      </c>
      <c r="H286" s="74">
        <v>0.46</v>
      </c>
      <c r="I286" s="74">
        <v>0.84</v>
      </c>
      <c r="J286" s="74">
        <v>1</v>
      </c>
      <c r="K286" s="74">
        <f>(27233.16*K5)/10000</f>
        <v>0.51743004</v>
      </c>
      <c r="L286" s="74"/>
      <c r="M286" s="74"/>
      <c r="N286" s="74">
        <f t="shared" si="43"/>
        <v>3.84743004</v>
      </c>
      <c r="O286" s="84">
        <v>3.72188252</v>
      </c>
      <c r="P286" s="84">
        <f t="shared" si="44"/>
        <v>0.12554752</v>
      </c>
    </row>
    <row r="287" s="61" customFormat="1" customHeight="1" spans="1:16">
      <c r="A287" s="71">
        <v>282</v>
      </c>
      <c r="B287" s="75"/>
      <c r="C287" s="73" t="s">
        <v>470</v>
      </c>
      <c r="D287" s="74">
        <v>19.8135</v>
      </c>
      <c r="E287" s="74">
        <v>0.3</v>
      </c>
      <c r="F287" s="74">
        <v>0.25</v>
      </c>
      <c r="G287" s="74">
        <v>0.48</v>
      </c>
      <c r="H287" s="74">
        <v>0.46</v>
      </c>
      <c r="I287" s="74">
        <v>0.84</v>
      </c>
      <c r="J287" s="74">
        <v>1</v>
      </c>
      <c r="K287" s="74">
        <f>(48135*K5)/10000</f>
        <v>0.914565</v>
      </c>
      <c r="L287" s="74"/>
      <c r="M287" s="74"/>
      <c r="N287" s="74">
        <f t="shared" si="43"/>
        <v>4.244565</v>
      </c>
      <c r="O287" s="84">
        <v>4.05274966</v>
      </c>
      <c r="P287" s="84">
        <f t="shared" si="44"/>
        <v>0.19181534</v>
      </c>
    </row>
    <row r="288" s="61" customFormat="1" customHeight="1" spans="1:16">
      <c r="A288" s="71">
        <v>283</v>
      </c>
      <c r="B288" s="75"/>
      <c r="C288" s="73" t="s">
        <v>471</v>
      </c>
      <c r="D288" s="74">
        <v>2.591525</v>
      </c>
      <c r="E288" s="74">
        <v>0.3</v>
      </c>
      <c r="F288" s="74">
        <v>0.25</v>
      </c>
      <c r="G288" s="74">
        <f>(5915.25*G5)/10000</f>
        <v>0.141966</v>
      </c>
      <c r="H288" s="74"/>
      <c r="I288" s="74"/>
      <c r="J288" s="74"/>
      <c r="K288" s="74"/>
      <c r="L288" s="74"/>
      <c r="M288" s="74"/>
      <c r="N288" s="74">
        <f t="shared" si="43"/>
        <v>0.691966</v>
      </c>
      <c r="O288" s="84">
        <v>0.69303</v>
      </c>
      <c r="P288" s="84">
        <f t="shared" si="44"/>
        <v>-0.00106399999999995</v>
      </c>
    </row>
    <row r="289" s="61" customFormat="1" customHeight="1" spans="1:16">
      <c r="A289" s="71">
        <v>284</v>
      </c>
      <c r="B289" s="75"/>
      <c r="C289" s="73" t="s">
        <v>472</v>
      </c>
      <c r="D289" s="74">
        <v>1.818082</v>
      </c>
      <c r="E289" s="74">
        <v>0.3</v>
      </c>
      <c r="F289" s="74">
        <f>(8180.82*F5)/10000</f>
        <v>0.2045205</v>
      </c>
      <c r="G289" s="74"/>
      <c r="H289" s="74"/>
      <c r="I289" s="74"/>
      <c r="J289" s="74"/>
      <c r="K289" s="74"/>
      <c r="L289" s="74"/>
      <c r="M289" s="74"/>
      <c r="N289" s="74">
        <f t="shared" si="43"/>
        <v>0.5045205</v>
      </c>
      <c r="O289" s="84">
        <v>0.4416865</v>
      </c>
      <c r="P289" s="84">
        <f t="shared" si="44"/>
        <v>0.0628339999999999</v>
      </c>
    </row>
    <row r="290" s="61" customFormat="1" customHeight="1" spans="1:16">
      <c r="A290" s="71">
        <v>285</v>
      </c>
      <c r="B290" s="75"/>
      <c r="C290" s="73" t="s">
        <v>473</v>
      </c>
      <c r="D290" s="74">
        <v>0.865251</v>
      </c>
      <c r="E290" s="74">
        <f>D290*E5</f>
        <v>0.2595753</v>
      </c>
      <c r="F290" s="74"/>
      <c r="G290" s="74"/>
      <c r="H290" s="74"/>
      <c r="I290" s="74"/>
      <c r="J290" s="74"/>
      <c r="K290" s="74"/>
      <c r="L290" s="74"/>
      <c r="M290" s="74"/>
      <c r="N290" s="74">
        <f t="shared" si="43"/>
        <v>0.2595753</v>
      </c>
      <c r="O290" s="84">
        <v>0.2596235</v>
      </c>
      <c r="P290" s="84">
        <f t="shared" si="44"/>
        <v>-4.81999999999982e-5</v>
      </c>
    </row>
    <row r="291" s="61" customFormat="1" customHeight="1" spans="1:16">
      <c r="A291" s="71">
        <v>286</v>
      </c>
      <c r="B291" s="75"/>
      <c r="C291" s="73" t="s">
        <v>474</v>
      </c>
      <c r="D291" s="74">
        <v>0.6237</v>
      </c>
      <c r="E291" s="74">
        <f>D291*E5</f>
        <v>0.18711</v>
      </c>
      <c r="F291" s="74"/>
      <c r="G291" s="74"/>
      <c r="H291" s="74"/>
      <c r="I291" s="74"/>
      <c r="J291" s="74"/>
      <c r="K291" s="74"/>
      <c r="L291" s="74"/>
      <c r="M291" s="74"/>
      <c r="N291" s="74">
        <f t="shared" si="43"/>
        <v>0.18711</v>
      </c>
      <c r="O291" s="84">
        <v>0.187138</v>
      </c>
      <c r="P291" s="84">
        <f t="shared" si="44"/>
        <v>-2.80000000000002e-5</v>
      </c>
    </row>
    <row r="292" s="61" customFormat="1" customHeight="1" spans="1:16">
      <c r="A292" s="71">
        <v>287</v>
      </c>
      <c r="B292" s="75"/>
      <c r="C292" s="73" t="s">
        <v>475</v>
      </c>
      <c r="D292" s="74">
        <v>1.47284</v>
      </c>
      <c r="E292" s="74">
        <v>0.3</v>
      </c>
      <c r="F292" s="74">
        <f>(4728.4*F5)/10000</f>
        <v>0.11821</v>
      </c>
      <c r="G292" s="74"/>
      <c r="H292" s="74"/>
      <c r="I292" s="74"/>
      <c r="J292" s="74"/>
      <c r="K292" s="74"/>
      <c r="L292" s="74"/>
      <c r="M292" s="74"/>
      <c r="N292" s="74">
        <f t="shared" si="43"/>
        <v>0.41821</v>
      </c>
      <c r="O292" s="84">
        <v>0.36934</v>
      </c>
      <c r="P292" s="84">
        <f t="shared" si="44"/>
        <v>0.04887</v>
      </c>
    </row>
    <row r="293" s="61" customFormat="1" customHeight="1" spans="1:16">
      <c r="A293" s="71">
        <v>288</v>
      </c>
      <c r="B293" s="75"/>
      <c r="C293" s="73" t="s">
        <v>476</v>
      </c>
      <c r="D293" s="74">
        <v>12.969824</v>
      </c>
      <c r="E293" s="74">
        <v>0.3</v>
      </c>
      <c r="F293" s="74">
        <v>0.25</v>
      </c>
      <c r="G293" s="74">
        <v>0.48</v>
      </c>
      <c r="H293" s="74">
        <v>0.46</v>
      </c>
      <c r="I293" s="74">
        <v>0.84</v>
      </c>
      <c r="J293" s="74">
        <f>(29698.24*J5)/10000</f>
        <v>0.5939648</v>
      </c>
      <c r="K293" s="74"/>
      <c r="L293" s="74"/>
      <c r="M293" s="74"/>
      <c r="N293" s="74">
        <f t="shared" si="43"/>
        <v>2.9239648</v>
      </c>
      <c r="O293" s="84">
        <v>2.72370212</v>
      </c>
      <c r="P293" s="84">
        <f t="shared" si="44"/>
        <v>0.20026268</v>
      </c>
    </row>
    <row r="294" s="61" customFormat="1" customHeight="1" spans="1:16">
      <c r="A294" s="71">
        <v>289</v>
      </c>
      <c r="B294" s="75"/>
      <c r="C294" s="73" t="s">
        <v>477</v>
      </c>
      <c r="D294" s="74">
        <v>28.655634</v>
      </c>
      <c r="E294" s="74">
        <v>0.3</v>
      </c>
      <c r="F294" s="74">
        <v>0.25</v>
      </c>
      <c r="G294" s="74">
        <v>0.48</v>
      </c>
      <c r="H294" s="74">
        <v>0.46</v>
      </c>
      <c r="I294" s="74">
        <v>0.84</v>
      </c>
      <c r="J294" s="74">
        <v>1</v>
      </c>
      <c r="K294" s="74">
        <v>0.95</v>
      </c>
      <c r="L294" s="74">
        <f>(86556.34*L5)/10000</f>
        <v>1.55801412</v>
      </c>
      <c r="M294" s="74"/>
      <c r="N294" s="74">
        <f t="shared" si="43"/>
        <v>5.83801412</v>
      </c>
      <c r="O294" s="84">
        <v>5.56903166</v>
      </c>
      <c r="P294" s="84">
        <f t="shared" si="44"/>
        <v>0.26898246</v>
      </c>
    </row>
    <row r="295" s="61" customFormat="1" customHeight="1" spans="1:16">
      <c r="A295" s="71">
        <v>290</v>
      </c>
      <c r="B295" s="75"/>
      <c r="C295" s="73" t="s">
        <v>478</v>
      </c>
      <c r="D295" s="74">
        <v>0.947715</v>
      </c>
      <c r="E295" s="74">
        <f>D295*E5</f>
        <v>0.2843145</v>
      </c>
      <c r="F295" s="74"/>
      <c r="G295" s="74"/>
      <c r="H295" s="74"/>
      <c r="I295" s="74"/>
      <c r="J295" s="74"/>
      <c r="K295" s="74"/>
      <c r="L295" s="74"/>
      <c r="M295" s="74"/>
      <c r="N295" s="74">
        <f t="shared" si="43"/>
        <v>0.2843145</v>
      </c>
      <c r="O295" s="84">
        <v>0.2843545</v>
      </c>
      <c r="P295" s="84">
        <f t="shared" si="44"/>
        <v>-4.000000000004e-5</v>
      </c>
    </row>
    <row r="296" s="61" customFormat="1" customHeight="1" spans="1:16">
      <c r="A296" s="71">
        <v>291</v>
      </c>
      <c r="B296" s="75"/>
      <c r="C296" s="73" t="s">
        <v>479</v>
      </c>
      <c r="D296" s="74">
        <v>0.557205</v>
      </c>
      <c r="E296" s="74">
        <f>D296*E5</f>
        <v>0.1671615</v>
      </c>
      <c r="F296" s="74"/>
      <c r="G296" s="74"/>
      <c r="H296" s="74"/>
      <c r="I296" s="74"/>
      <c r="J296" s="74"/>
      <c r="K296" s="74"/>
      <c r="L296" s="74"/>
      <c r="M296" s="74"/>
      <c r="N296" s="74">
        <f t="shared" si="43"/>
        <v>0.1671615</v>
      </c>
      <c r="O296" s="84">
        <v>0.1671615</v>
      </c>
      <c r="P296" s="84">
        <f t="shared" si="44"/>
        <v>0</v>
      </c>
    </row>
    <row r="297" s="61" customFormat="1" customHeight="1" spans="1:16">
      <c r="A297" s="71">
        <v>292</v>
      </c>
      <c r="B297" s="77"/>
      <c r="C297" s="73" t="s">
        <v>480</v>
      </c>
      <c r="D297" s="74">
        <v>0.474885</v>
      </c>
      <c r="E297" s="74">
        <f>D297*E5</f>
        <v>0.1424655</v>
      </c>
      <c r="F297" s="74"/>
      <c r="G297" s="74"/>
      <c r="H297" s="74"/>
      <c r="I297" s="74"/>
      <c r="J297" s="74"/>
      <c r="K297" s="74"/>
      <c r="L297" s="74"/>
      <c r="M297" s="74"/>
      <c r="N297" s="74">
        <f t="shared" si="43"/>
        <v>0.1424655</v>
      </c>
      <c r="O297" s="84">
        <v>0.1424655</v>
      </c>
      <c r="P297" s="84">
        <f t="shared" si="44"/>
        <v>0</v>
      </c>
    </row>
    <row r="298" s="61" customFormat="1" customHeight="1" spans="1:16">
      <c r="A298" s="71">
        <v>293</v>
      </c>
      <c r="B298" s="75"/>
      <c r="C298" s="78"/>
      <c r="D298" s="74"/>
      <c r="E298" s="74"/>
      <c r="F298" s="74"/>
      <c r="G298" s="74"/>
      <c r="H298" s="74"/>
      <c r="I298" s="74"/>
      <c r="J298" s="74"/>
      <c r="K298" s="74"/>
      <c r="L298" s="74"/>
      <c r="M298" s="74"/>
      <c r="N298" s="85">
        <f>SUM(N265:N297)</f>
        <v>87.26134645</v>
      </c>
      <c r="O298" s="80"/>
      <c r="P298" s="84"/>
    </row>
    <row r="299" s="61" customFormat="1" customHeight="1" spans="1:16">
      <c r="A299" s="71">
        <v>294</v>
      </c>
      <c r="B299" s="72" t="s">
        <v>217</v>
      </c>
      <c r="C299" s="73" t="s">
        <v>481</v>
      </c>
      <c r="D299" s="84">
        <v>8.894979</v>
      </c>
      <c r="E299" s="84">
        <v>0.3</v>
      </c>
      <c r="F299" s="84">
        <v>0.25</v>
      </c>
      <c r="G299" s="84">
        <v>0.48</v>
      </c>
      <c r="H299" s="84">
        <v>0.46</v>
      </c>
      <c r="I299" s="84">
        <f>(28949.79*I5)/10000</f>
        <v>0.60794559</v>
      </c>
      <c r="J299" s="74"/>
      <c r="K299" s="74"/>
      <c r="L299" s="74"/>
      <c r="M299" s="74"/>
      <c r="N299" s="74">
        <f t="shared" ref="N299:N311" si="45">SUM(E299:M299)</f>
        <v>2.09794559</v>
      </c>
      <c r="O299" s="84">
        <v>2.07861091</v>
      </c>
      <c r="P299" s="84">
        <f t="shared" ref="P299:P311" si="46">N299-O299</f>
        <v>0.01933468</v>
      </c>
    </row>
    <row r="300" s="61" customFormat="1" customHeight="1" spans="1:16">
      <c r="A300" s="71">
        <v>295</v>
      </c>
      <c r="B300" s="75"/>
      <c r="C300" s="73" t="s">
        <v>482</v>
      </c>
      <c r="D300" s="84">
        <v>3.634256</v>
      </c>
      <c r="E300" s="84">
        <v>0.3</v>
      </c>
      <c r="F300" s="84">
        <v>0.25</v>
      </c>
      <c r="G300" s="84">
        <f>(16342.56*G5)/10000</f>
        <v>0.39222144</v>
      </c>
      <c r="H300" s="74"/>
      <c r="I300" s="74"/>
      <c r="J300" s="74"/>
      <c r="K300" s="74"/>
      <c r="L300" s="74"/>
      <c r="M300" s="74"/>
      <c r="N300" s="74">
        <f t="shared" si="45"/>
        <v>0.94222144</v>
      </c>
      <c r="O300" s="84">
        <v>0.91990544</v>
      </c>
      <c r="P300" s="84">
        <f t="shared" si="46"/>
        <v>0.0223159999999999</v>
      </c>
    </row>
    <row r="301" s="61" customFormat="1" customHeight="1" spans="1:16">
      <c r="A301" s="71">
        <v>296</v>
      </c>
      <c r="B301" s="75"/>
      <c r="C301" s="73" t="s">
        <v>483</v>
      </c>
      <c r="D301" s="84">
        <v>15.093427</v>
      </c>
      <c r="E301" s="84">
        <v>0.3</v>
      </c>
      <c r="F301" s="84">
        <v>0.25</v>
      </c>
      <c r="G301" s="84">
        <v>0.48</v>
      </c>
      <c r="H301" s="84">
        <v>0.46</v>
      </c>
      <c r="I301" s="84">
        <v>0.84</v>
      </c>
      <c r="J301" s="84">
        <v>1</v>
      </c>
      <c r="K301" s="84">
        <f>(934.27*K5)/10000</f>
        <v>0.01775113</v>
      </c>
      <c r="L301" s="74"/>
      <c r="M301" s="74"/>
      <c r="N301" s="74">
        <f t="shared" si="45"/>
        <v>3.34775113</v>
      </c>
      <c r="O301" s="84">
        <v>3.1584842</v>
      </c>
      <c r="P301" s="84">
        <f t="shared" si="46"/>
        <v>0.18926693</v>
      </c>
    </row>
    <row r="302" s="61" customFormat="1" customHeight="1" spans="1:16">
      <c r="A302" s="71">
        <v>297</v>
      </c>
      <c r="B302" s="75"/>
      <c r="C302" s="73" t="s">
        <v>484</v>
      </c>
      <c r="D302" s="84">
        <v>7.098579</v>
      </c>
      <c r="E302" s="84">
        <v>0.3</v>
      </c>
      <c r="F302" s="84">
        <v>0.25</v>
      </c>
      <c r="G302" s="84">
        <v>0.48</v>
      </c>
      <c r="H302" s="84">
        <v>0.46</v>
      </c>
      <c r="I302" s="84">
        <f>(10985.79*I5)/10000</f>
        <v>0.23070159</v>
      </c>
      <c r="J302" s="74"/>
      <c r="K302" s="74"/>
      <c r="L302" s="74"/>
      <c r="M302" s="74"/>
      <c r="N302" s="74">
        <f t="shared" si="45"/>
        <v>1.72070159</v>
      </c>
      <c r="O302" s="84">
        <v>1.67043705</v>
      </c>
      <c r="P302" s="84">
        <f t="shared" si="46"/>
        <v>0.0502645399999999</v>
      </c>
    </row>
    <row r="303" s="61" customFormat="1" customHeight="1" spans="1:16">
      <c r="A303" s="71">
        <v>298</v>
      </c>
      <c r="B303" s="75"/>
      <c r="C303" s="73" t="s">
        <v>485</v>
      </c>
      <c r="D303" s="84">
        <v>2.30478</v>
      </c>
      <c r="E303" s="84">
        <v>0.3</v>
      </c>
      <c r="F303" s="84">
        <v>0.25</v>
      </c>
      <c r="G303" s="84">
        <f>(3047.8*G5)/10000</f>
        <v>0.0731472</v>
      </c>
      <c r="H303" s="74"/>
      <c r="I303" s="74"/>
      <c r="J303" s="74"/>
      <c r="K303" s="74"/>
      <c r="L303" s="74"/>
      <c r="M303" s="74"/>
      <c r="N303" s="74">
        <f t="shared" si="45"/>
        <v>0.6231472</v>
      </c>
      <c r="O303" s="84">
        <v>0.61511875</v>
      </c>
      <c r="P303" s="84">
        <f t="shared" si="46"/>
        <v>0.00802844999999996</v>
      </c>
    </row>
    <row r="304" s="61" customFormat="1" customHeight="1" spans="1:16">
      <c r="A304" s="71">
        <v>299</v>
      </c>
      <c r="B304" s="75"/>
      <c r="C304" s="73" t="s">
        <v>486</v>
      </c>
      <c r="D304" s="84">
        <v>11.933188</v>
      </c>
      <c r="E304" s="84">
        <v>0.3</v>
      </c>
      <c r="F304" s="84">
        <v>0.25</v>
      </c>
      <c r="G304" s="84">
        <v>0.48</v>
      </c>
      <c r="H304" s="84">
        <v>0.46</v>
      </c>
      <c r="I304" s="84">
        <v>0.84</v>
      </c>
      <c r="J304" s="84">
        <f>(19331.88*J5)/10000</f>
        <v>0.3866376</v>
      </c>
      <c r="K304" s="74"/>
      <c r="L304" s="74"/>
      <c r="M304" s="74"/>
      <c r="N304" s="74">
        <f t="shared" si="45"/>
        <v>2.7166376</v>
      </c>
      <c r="O304" s="84">
        <v>2.4589456</v>
      </c>
      <c r="P304" s="84">
        <f t="shared" si="46"/>
        <v>0.257692</v>
      </c>
    </row>
    <row r="305" s="61" customFormat="1" customHeight="1" spans="1:16">
      <c r="A305" s="71">
        <v>300</v>
      </c>
      <c r="B305" s="75"/>
      <c r="C305" s="73" t="s">
        <v>487</v>
      </c>
      <c r="D305" s="84">
        <v>3.311882</v>
      </c>
      <c r="E305" s="84">
        <v>0.3</v>
      </c>
      <c r="F305" s="84">
        <v>0.25</v>
      </c>
      <c r="G305" s="84">
        <f>(13118.82*G5)/10000</f>
        <v>0.31485168</v>
      </c>
      <c r="H305" s="74"/>
      <c r="I305" s="74"/>
      <c r="J305" s="74"/>
      <c r="K305" s="74"/>
      <c r="L305" s="74"/>
      <c r="M305" s="74"/>
      <c r="N305" s="74">
        <f t="shared" si="45"/>
        <v>0.86485168</v>
      </c>
      <c r="O305" s="84">
        <v>0.8279925</v>
      </c>
      <c r="P305" s="84">
        <f t="shared" si="46"/>
        <v>0.0368591800000001</v>
      </c>
    </row>
    <row r="306" s="61" customFormat="1" customHeight="1" spans="1:16">
      <c r="A306" s="71">
        <v>301</v>
      </c>
      <c r="B306" s="75"/>
      <c r="C306" s="73" t="s">
        <v>488</v>
      </c>
      <c r="D306" s="84">
        <v>6.855409</v>
      </c>
      <c r="E306" s="84">
        <v>0.3</v>
      </c>
      <c r="F306" s="84">
        <v>0.25</v>
      </c>
      <c r="G306" s="84">
        <v>0.48</v>
      </c>
      <c r="H306" s="84">
        <v>0.46</v>
      </c>
      <c r="I306" s="84">
        <f>(8554.09*I5)/10000</f>
        <v>0.17963589</v>
      </c>
      <c r="J306" s="74"/>
      <c r="K306" s="74"/>
      <c r="L306" s="74"/>
      <c r="M306" s="74"/>
      <c r="N306" s="74">
        <f t="shared" si="45"/>
        <v>1.66963589</v>
      </c>
      <c r="O306" s="84">
        <v>1.6009206</v>
      </c>
      <c r="P306" s="84">
        <f t="shared" si="46"/>
        <v>0.0687152899999999</v>
      </c>
    </row>
    <row r="307" s="61" customFormat="1" customHeight="1" spans="1:16">
      <c r="A307" s="71">
        <v>302</v>
      </c>
      <c r="B307" s="75"/>
      <c r="C307" s="73" t="s">
        <v>489</v>
      </c>
      <c r="D307" s="84">
        <v>9.860236</v>
      </c>
      <c r="E307" s="84">
        <v>0.3</v>
      </c>
      <c r="F307" s="84">
        <v>0.25</v>
      </c>
      <c r="G307" s="84">
        <v>0.48</v>
      </c>
      <c r="H307" s="84">
        <v>0.46</v>
      </c>
      <c r="I307" s="84">
        <f>(38602.36*I5)/10000</f>
        <v>0.81064956</v>
      </c>
      <c r="J307" s="74"/>
      <c r="K307" s="74"/>
      <c r="L307" s="74"/>
      <c r="M307" s="74"/>
      <c r="N307" s="74">
        <f t="shared" si="45"/>
        <v>2.30064956</v>
      </c>
      <c r="O307" s="84">
        <v>2.26787002</v>
      </c>
      <c r="P307" s="84">
        <f t="shared" si="46"/>
        <v>0.0327795399999999</v>
      </c>
    </row>
    <row r="308" s="61" customFormat="1" customHeight="1" spans="1:16">
      <c r="A308" s="71">
        <v>303</v>
      </c>
      <c r="B308" s="75"/>
      <c r="C308" s="73" t="s">
        <v>490</v>
      </c>
      <c r="D308" s="84">
        <v>9.566364</v>
      </c>
      <c r="E308" s="84">
        <v>0.3</v>
      </c>
      <c r="F308" s="84">
        <v>0.25</v>
      </c>
      <c r="G308" s="84">
        <v>0.48</v>
      </c>
      <c r="H308" s="84">
        <v>0.46</v>
      </c>
      <c r="I308" s="84">
        <f>(35773.64*I5)/10000</f>
        <v>0.75124644</v>
      </c>
      <c r="J308" s="74"/>
      <c r="K308" s="74"/>
      <c r="L308" s="74"/>
      <c r="M308" s="74"/>
      <c r="N308" s="74">
        <f t="shared" si="45"/>
        <v>2.24124644</v>
      </c>
      <c r="O308" s="84">
        <v>2.23608806</v>
      </c>
      <c r="P308" s="84">
        <f t="shared" si="46"/>
        <v>0.00515837999999968</v>
      </c>
    </row>
    <row r="309" s="61" customFormat="1" customHeight="1" spans="1:16">
      <c r="A309" s="71">
        <v>304</v>
      </c>
      <c r="B309" s="75"/>
      <c r="C309" s="73" t="s">
        <v>491</v>
      </c>
      <c r="D309" s="84">
        <v>2.360897</v>
      </c>
      <c r="E309" s="84">
        <v>0.3</v>
      </c>
      <c r="F309" s="84">
        <v>0.25</v>
      </c>
      <c r="G309" s="84">
        <f>(3608.97*G5)/10000</f>
        <v>0.08661528</v>
      </c>
      <c r="H309" s="74"/>
      <c r="I309" s="74"/>
      <c r="J309" s="74"/>
      <c r="K309" s="74"/>
      <c r="L309" s="74"/>
      <c r="M309" s="74"/>
      <c r="N309" s="74">
        <f t="shared" si="45"/>
        <v>0.63661528</v>
      </c>
      <c r="O309" s="84">
        <v>0.62787125</v>
      </c>
      <c r="P309" s="84">
        <f t="shared" si="46"/>
        <v>0.00874403000000001</v>
      </c>
    </row>
    <row r="310" s="61" customFormat="1" customHeight="1" spans="1:16">
      <c r="A310" s="71">
        <v>305</v>
      </c>
      <c r="B310" s="75"/>
      <c r="C310" s="73" t="s">
        <v>492</v>
      </c>
      <c r="D310" s="84">
        <v>1.763747</v>
      </c>
      <c r="E310" s="84">
        <v>0.3</v>
      </c>
      <c r="F310" s="84">
        <f>(7637.47*F5)/10000</f>
        <v>0.19093675</v>
      </c>
      <c r="G310" s="74"/>
      <c r="H310" s="74"/>
      <c r="I310" s="74"/>
      <c r="J310" s="74"/>
      <c r="K310" s="74"/>
      <c r="L310" s="74"/>
      <c r="M310" s="74"/>
      <c r="N310" s="74">
        <f t="shared" si="45"/>
        <v>0.49093675</v>
      </c>
      <c r="O310" s="84">
        <v>0.5291006</v>
      </c>
      <c r="P310" s="84">
        <f t="shared" si="46"/>
        <v>-0.03816385</v>
      </c>
    </row>
    <row r="311" s="61" customFormat="1" ht="30" customHeight="1" spans="1:16">
      <c r="A311" s="71">
        <v>306</v>
      </c>
      <c r="B311" s="77"/>
      <c r="C311" s="73" t="s">
        <v>493</v>
      </c>
      <c r="D311" s="84">
        <v>1.373081</v>
      </c>
      <c r="E311" s="84">
        <v>0.3</v>
      </c>
      <c r="F311" s="84">
        <f>(3730.81*F5)/10000</f>
        <v>0.09327025</v>
      </c>
      <c r="G311" s="74"/>
      <c r="H311" s="74"/>
      <c r="I311" s="74"/>
      <c r="J311" s="74"/>
      <c r="K311" s="74"/>
      <c r="L311" s="74"/>
      <c r="M311" s="74"/>
      <c r="N311" s="74">
        <f t="shared" si="45"/>
        <v>0.39327025</v>
      </c>
      <c r="O311" s="84">
        <v>0.41192</v>
      </c>
      <c r="P311" s="84">
        <f t="shared" si="46"/>
        <v>-0.01864975</v>
      </c>
    </row>
    <row r="312" s="61" customFormat="1" customHeight="1" spans="1:16">
      <c r="A312" s="71">
        <v>307</v>
      </c>
      <c r="B312" s="87"/>
      <c r="C312" s="88"/>
      <c r="D312" s="74"/>
      <c r="E312" s="74"/>
      <c r="F312" s="74"/>
      <c r="G312" s="74"/>
      <c r="H312" s="74"/>
      <c r="I312" s="74"/>
      <c r="J312" s="74"/>
      <c r="K312" s="74"/>
      <c r="L312" s="74"/>
      <c r="M312" s="74"/>
      <c r="N312" s="85">
        <f>SUM(N299:N311)</f>
        <v>20.0456104</v>
      </c>
      <c r="O312" s="85"/>
      <c r="P312" s="85"/>
    </row>
    <row r="313" s="61" customFormat="1" customHeight="1" spans="1:16">
      <c r="A313" s="71">
        <v>308</v>
      </c>
      <c r="B313" s="89"/>
      <c r="C313" s="88"/>
      <c r="D313" s="74"/>
      <c r="E313" s="74"/>
      <c r="F313" s="74"/>
      <c r="G313" s="74"/>
      <c r="H313" s="74"/>
      <c r="I313" s="74"/>
      <c r="J313" s="74"/>
      <c r="K313" s="74"/>
      <c r="L313" s="74"/>
      <c r="M313" s="74"/>
      <c r="N313" s="85">
        <f>SUM(N6:N311)-N298-N264-N257-N245-N241-N228-N209-N187-N173-N163-N151-N146-N135-N120-N102-N88-N74-N56-N46-N37-N29-N26-N19-N11</f>
        <v>350.39643941</v>
      </c>
      <c r="O313" s="85">
        <f>SUM(O6:O311)</f>
        <v>371.0005476</v>
      </c>
      <c r="P313" s="85">
        <f>SUM(P6:P311)</f>
        <v>-20.60410819</v>
      </c>
    </row>
    <row r="314" customFormat="1" customHeight="1" spans="2:15">
      <c r="B314" s="9"/>
      <c r="D314" s="8"/>
      <c r="O314" s="90"/>
    </row>
  </sheetData>
  <mergeCells count="29">
    <mergeCell ref="A4:A5"/>
    <mergeCell ref="B4:B5"/>
    <mergeCell ref="B6:B10"/>
    <mergeCell ref="B12:B18"/>
    <mergeCell ref="B20:B25"/>
    <mergeCell ref="B27:B28"/>
    <mergeCell ref="B30:B36"/>
    <mergeCell ref="B38:B45"/>
    <mergeCell ref="B47:B55"/>
    <mergeCell ref="B57:B73"/>
    <mergeCell ref="B75:B87"/>
    <mergeCell ref="B89:B101"/>
    <mergeCell ref="B103:B119"/>
    <mergeCell ref="B121:B134"/>
    <mergeCell ref="B136:B145"/>
    <mergeCell ref="B147:B150"/>
    <mergeCell ref="B152:B162"/>
    <mergeCell ref="B164:B172"/>
    <mergeCell ref="B174:B186"/>
    <mergeCell ref="B188:B208"/>
    <mergeCell ref="B210:B227"/>
    <mergeCell ref="B229:B240"/>
    <mergeCell ref="B242:B244"/>
    <mergeCell ref="B246:B256"/>
    <mergeCell ref="B258:B263"/>
    <mergeCell ref="B265:B297"/>
    <mergeCell ref="B299:B311"/>
    <mergeCell ref="C4:C5"/>
    <mergeCell ref="D4:D5"/>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7"/>
  <sheetViews>
    <sheetView workbookViewId="0">
      <pane xSplit="2" ySplit="5" topLeftCell="C33" activePane="bottomRight" state="frozen"/>
      <selection/>
      <selection pane="topRight"/>
      <selection pane="bottomLeft"/>
      <selection pane="bottomRight" activeCell="N37" sqref="N37"/>
    </sheetView>
  </sheetViews>
  <sheetFormatPr defaultColWidth="9" defaultRowHeight="14"/>
  <cols>
    <col min="1" max="1" width="4.90909090909091" customWidth="1"/>
    <col min="2" max="2" width="21.3636363636364" customWidth="1"/>
    <col min="3" max="3" width="12.8727272727273" style="49" customWidth="1"/>
    <col min="4" max="4" width="11.1272727272727" customWidth="1"/>
    <col min="5" max="6" width="10" customWidth="1"/>
    <col min="7" max="7" width="8.36363636363636" customWidth="1"/>
    <col min="8" max="9" width="8.54545454545454" customWidth="1"/>
    <col min="10" max="10" width="8.81818181818182" customWidth="1"/>
    <col min="11" max="11" width="8.45454545454546" customWidth="1"/>
    <col min="12" max="12" width="9.36363636363636" style="8" customWidth="1"/>
    <col min="13" max="13" width="10.5454545454545" customWidth="1"/>
    <col min="14" max="14" width="11.5454545454545" style="8" customWidth="1"/>
  </cols>
  <sheetData>
    <row r="1" spans="1:1">
      <c r="A1" t="s">
        <v>494</v>
      </c>
    </row>
    <row r="2" ht="28" customHeight="1" spans="1:14">
      <c r="A2" s="50" t="s">
        <v>495</v>
      </c>
      <c r="B2" s="50"/>
      <c r="C2" s="51"/>
      <c r="D2" s="50"/>
      <c r="E2" s="50"/>
      <c r="F2" s="50"/>
      <c r="G2" s="50"/>
      <c r="H2" s="50"/>
      <c r="I2" s="50"/>
      <c r="J2" s="50"/>
      <c r="K2" s="50"/>
      <c r="L2" s="58"/>
      <c r="M2" s="50"/>
      <c r="N2" s="58"/>
    </row>
    <row r="3" ht="16" customHeight="1" spans="1:14">
      <c r="A3" s="50"/>
      <c r="B3" s="50"/>
      <c r="C3" s="51"/>
      <c r="D3" s="50"/>
      <c r="E3" s="50"/>
      <c r="F3" s="50"/>
      <c r="G3" s="50"/>
      <c r="H3" s="50"/>
      <c r="I3" s="50"/>
      <c r="J3" s="50"/>
      <c r="K3" s="50"/>
      <c r="L3" s="58"/>
      <c r="M3" s="50"/>
      <c r="N3" s="59" t="s">
        <v>125</v>
      </c>
    </row>
    <row r="4" ht="42" customHeight="1" spans="1:14">
      <c r="A4" s="23" t="s">
        <v>126</v>
      </c>
      <c r="B4" s="23" t="s">
        <v>128</v>
      </c>
      <c r="C4" s="52" t="s">
        <v>496</v>
      </c>
      <c r="D4" s="13" t="s">
        <v>497</v>
      </c>
      <c r="E4" s="13" t="s">
        <v>498</v>
      </c>
      <c r="F4" s="13" t="s">
        <v>499</v>
      </c>
      <c r="G4" s="13" t="s">
        <v>500</v>
      </c>
      <c r="H4" s="13" t="s">
        <v>501</v>
      </c>
      <c r="I4" s="13" t="s">
        <v>502</v>
      </c>
      <c r="J4" s="13" t="s">
        <v>503</v>
      </c>
      <c r="K4" s="13" t="s">
        <v>504</v>
      </c>
      <c r="L4" s="39" t="s">
        <v>248</v>
      </c>
      <c r="M4" s="23" t="s">
        <v>249</v>
      </c>
      <c r="N4" s="39" t="s">
        <v>250</v>
      </c>
    </row>
    <row r="5" ht="35" customHeight="1" spans="1:14">
      <c r="A5" s="23"/>
      <c r="B5" s="23"/>
      <c r="C5" s="53" t="s">
        <v>505</v>
      </c>
      <c r="D5" s="37">
        <v>0.25</v>
      </c>
      <c r="E5" s="37">
        <v>0.24</v>
      </c>
      <c r="F5" s="37">
        <v>0.23</v>
      </c>
      <c r="G5" s="37">
        <v>0.22</v>
      </c>
      <c r="H5" s="37">
        <v>0.21</v>
      </c>
      <c r="I5" s="37">
        <v>0.2</v>
      </c>
      <c r="J5" s="37">
        <v>0.19</v>
      </c>
      <c r="K5" s="13" t="s">
        <v>506</v>
      </c>
      <c r="L5" s="39"/>
      <c r="M5" s="23"/>
      <c r="N5" s="39"/>
    </row>
    <row r="6" spans="1:14">
      <c r="A6" s="12">
        <v>1</v>
      </c>
      <c r="B6" s="12" t="s">
        <v>230</v>
      </c>
      <c r="C6" s="45">
        <v>133.317378</v>
      </c>
      <c r="D6" s="45">
        <f>(1000000*D5)/10000</f>
        <v>25</v>
      </c>
      <c r="E6" s="45">
        <f>(333173.78*E5)/10000</f>
        <v>7.99617072</v>
      </c>
      <c r="F6" s="12"/>
      <c r="G6" s="12"/>
      <c r="H6" s="12"/>
      <c r="I6" s="12"/>
      <c r="J6" s="12"/>
      <c r="K6" s="12"/>
      <c r="L6" s="37">
        <f t="shared" ref="L6:L36" si="0">SUM(D6:K6)</f>
        <v>32.99617072</v>
      </c>
      <c r="M6" s="45">
        <v>32.704697</v>
      </c>
      <c r="N6" s="37">
        <f t="shared" ref="N6:N36" si="1">L6-M6</f>
        <v>0.291473720000006</v>
      </c>
    </row>
    <row r="7" spans="1:14">
      <c r="A7" s="12">
        <v>2</v>
      </c>
      <c r="B7" s="12" t="s">
        <v>258</v>
      </c>
      <c r="C7" s="45">
        <v>40.200126</v>
      </c>
      <c r="D7" s="37">
        <f>C7*D5</f>
        <v>10.0500315</v>
      </c>
      <c r="E7" s="12"/>
      <c r="F7" s="12"/>
      <c r="G7" s="12"/>
      <c r="H7" s="12"/>
      <c r="I7" s="12"/>
      <c r="J7" s="12"/>
      <c r="K7" s="12"/>
      <c r="L7" s="37">
        <f t="shared" si="0"/>
        <v>10.0500315</v>
      </c>
      <c r="M7" s="45">
        <v>10.050066</v>
      </c>
      <c r="N7" s="37">
        <f t="shared" si="1"/>
        <v>-3.44999999999374e-5</v>
      </c>
    </row>
    <row r="8" spans="1:14">
      <c r="A8" s="12">
        <v>3</v>
      </c>
      <c r="B8" s="12" t="s">
        <v>266</v>
      </c>
      <c r="C8" s="45">
        <v>56.379598</v>
      </c>
      <c r="D8" s="37">
        <f>C8*D5</f>
        <v>14.0948995</v>
      </c>
      <c r="E8" s="12"/>
      <c r="F8" s="12"/>
      <c r="G8" s="12"/>
      <c r="H8" s="12"/>
      <c r="I8" s="12"/>
      <c r="J8" s="12"/>
      <c r="K8" s="12"/>
      <c r="L8" s="37">
        <f t="shared" si="0"/>
        <v>14.0948995</v>
      </c>
      <c r="M8" s="45">
        <v>14.094876</v>
      </c>
      <c r="N8" s="37">
        <f t="shared" si="1"/>
        <v>2.3499999999288e-5</v>
      </c>
    </row>
    <row r="9" spans="1:14">
      <c r="A9" s="12">
        <v>4</v>
      </c>
      <c r="B9" s="12" t="s">
        <v>226</v>
      </c>
      <c r="C9" s="45">
        <v>111.966545</v>
      </c>
      <c r="D9" s="45">
        <f>(1000000*D5)/10000</f>
        <v>25</v>
      </c>
      <c r="E9" s="45">
        <f>(119665.45*E5)/10000</f>
        <v>2.8719708</v>
      </c>
      <c r="F9" s="12"/>
      <c r="G9" s="12"/>
      <c r="H9" s="12"/>
      <c r="I9" s="12"/>
      <c r="J9" s="12"/>
      <c r="K9" s="12"/>
      <c r="L9" s="37">
        <f t="shared" si="0"/>
        <v>27.8719708</v>
      </c>
      <c r="M9" s="45">
        <v>27.991594</v>
      </c>
      <c r="N9" s="37">
        <f t="shared" si="1"/>
        <v>-0.119623199999999</v>
      </c>
    </row>
    <row r="10" spans="1:14">
      <c r="A10" s="12">
        <v>5</v>
      </c>
      <c r="B10" s="12" t="s">
        <v>135</v>
      </c>
      <c r="C10" s="45">
        <v>119.887519</v>
      </c>
      <c r="D10" s="45">
        <f>(1000000*D5)/10000</f>
        <v>25</v>
      </c>
      <c r="E10" s="45">
        <f>(198875.19*E5)/10000</f>
        <v>4.77300456</v>
      </c>
      <c r="F10" s="12"/>
      <c r="G10" s="12"/>
      <c r="H10" s="12"/>
      <c r="I10" s="12"/>
      <c r="J10" s="12"/>
      <c r="K10" s="12"/>
      <c r="L10" s="37">
        <f t="shared" si="0"/>
        <v>29.77300456</v>
      </c>
      <c r="M10" s="45">
        <v>29.971845</v>
      </c>
      <c r="N10" s="37">
        <f t="shared" si="1"/>
        <v>-0.198840440000001</v>
      </c>
    </row>
    <row r="11" spans="1:14">
      <c r="A11" s="12">
        <v>6</v>
      </c>
      <c r="B11" s="12" t="s">
        <v>137</v>
      </c>
      <c r="C11" s="45">
        <v>98.839771</v>
      </c>
      <c r="D11" s="37">
        <f>C11*D5</f>
        <v>24.70994275</v>
      </c>
      <c r="E11" s="12"/>
      <c r="F11" s="12"/>
      <c r="G11" s="12"/>
      <c r="H11" s="12"/>
      <c r="I11" s="12"/>
      <c r="J11" s="12"/>
      <c r="K11" s="12"/>
      <c r="L11" s="37">
        <f t="shared" si="0"/>
        <v>24.70994275</v>
      </c>
      <c r="M11" s="45">
        <v>24.709968</v>
      </c>
      <c r="N11" s="37">
        <f t="shared" si="1"/>
        <v>-2.52500000001987e-5</v>
      </c>
    </row>
    <row r="12" spans="1:14">
      <c r="A12" s="12">
        <v>7</v>
      </c>
      <c r="B12" s="12" t="s">
        <v>228</v>
      </c>
      <c r="C12" s="45">
        <v>351.913196</v>
      </c>
      <c r="D12" s="45">
        <f>(1000000*D5)/10000</f>
        <v>25</v>
      </c>
      <c r="E12" s="45">
        <f>(1000000*E5)/10000</f>
        <v>24</v>
      </c>
      <c r="F12" s="45">
        <f>(1519131.96*F5)/10000</f>
        <v>34.94003508</v>
      </c>
      <c r="G12" s="12"/>
      <c r="H12" s="12"/>
      <c r="I12" s="12"/>
      <c r="J12" s="12"/>
      <c r="K12" s="12"/>
      <c r="L12" s="37">
        <f t="shared" si="0"/>
        <v>83.94003508</v>
      </c>
      <c r="M12" s="45">
        <v>84.45918464</v>
      </c>
      <c r="N12" s="37">
        <f t="shared" si="1"/>
        <v>-0.519149560000002</v>
      </c>
    </row>
    <row r="13" spans="1:14">
      <c r="A13" s="12">
        <v>8</v>
      </c>
      <c r="B13" s="12" t="s">
        <v>142</v>
      </c>
      <c r="C13" s="45">
        <v>94.246667</v>
      </c>
      <c r="D13" s="37">
        <f>C13*D5</f>
        <v>23.56166675</v>
      </c>
      <c r="E13" s="12"/>
      <c r="F13" s="12"/>
      <c r="G13" s="12"/>
      <c r="H13" s="12"/>
      <c r="I13" s="12"/>
      <c r="J13" s="12"/>
      <c r="K13" s="12"/>
      <c r="L13" s="37">
        <f t="shared" si="0"/>
        <v>23.56166675</v>
      </c>
      <c r="M13" s="45">
        <v>23.561651</v>
      </c>
      <c r="N13" s="37">
        <f t="shared" si="1"/>
        <v>1.57499999993149e-5</v>
      </c>
    </row>
    <row r="14" spans="1:14">
      <c r="A14" s="12">
        <v>9</v>
      </c>
      <c r="B14" s="12" t="s">
        <v>227</v>
      </c>
      <c r="C14" s="45">
        <v>90.689159</v>
      </c>
      <c r="D14" s="45">
        <f>C14*D5</f>
        <v>22.67228975</v>
      </c>
      <c r="E14" s="12"/>
      <c r="F14" s="12"/>
      <c r="G14" s="12"/>
      <c r="H14" s="12"/>
      <c r="I14" s="12"/>
      <c r="J14" s="12"/>
      <c r="K14" s="12"/>
      <c r="L14" s="37">
        <f t="shared" si="0"/>
        <v>22.67228975</v>
      </c>
      <c r="M14" s="45">
        <v>22.672332</v>
      </c>
      <c r="N14" s="37">
        <f t="shared" si="1"/>
        <v>-4.22499999999104e-5</v>
      </c>
    </row>
    <row r="15" spans="1:14">
      <c r="A15" s="12">
        <v>10</v>
      </c>
      <c r="B15" s="12" t="s">
        <v>145</v>
      </c>
      <c r="C15" s="45">
        <v>74.17746</v>
      </c>
      <c r="D15" s="37">
        <f>C15*D5</f>
        <v>18.544365</v>
      </c>
      <c r="E15" s="12"/>
      <c r="F15" s="12"/>
      <c r="G15" s="12"/>
      <c r="H15" s="12"/>
      <c r="I15" s="12"/>
      <c r="J15" s="12"/>
      <c r="K15" s="12"/>
      <c r="L15" s="37">
        <f t="shared" si="0"/>
        <v>18.544365</v>
      </c>
      <c r="M15" s="45">
        <v>18.544336</v>
      </c>
      <c r="N15" s="37">
        <f t="shared" si="1"/>
        <v>2.9000000001389e-5</v>
      </c>
    </row>
    <row r="16" spans="1:14">
      <c r="A16" s="12">
        <v>11</v>
      </c>
      <c r="B16" s="12" t="s">
        <v>149</v>
      </c>
      <c r="C16" s="45">
        <v>137.958919</v>
      </c>
      <c r="D16" s="45">
        <f>(1000000*D5)/10000</f>
        <v>25</v>
      </c>
      <c r="E16" s="45">
        <f>(379589.19*E5)/10000</f>
        <v>9.11014056</v>
      </c>
      <c r="F16" s="46"/>
      <c r="G16" s="12"/>
      <c r="H16" s="12"/>
      <c r="I16" s="12"/>
      <c r="J16" s="12"/>
      <c r="K16" s="12"/>
      <c r="L16" s="37">
        <f t="shared" si="0"/>
        <v>34.11014056</v>
      </c>
      <c r="M16" s="45">
        <v>34.489725</v>
      </c>
      <c r="N16" s="37">
        <f t="shared" si="1"/>
        <v>-0.379584440000002</v>
      </c>
    </row>
    <row r="17" spans="1:14">
      <c r="A17" s="12">
        <v>12</v>
      </c>
      <c r="B17" s="12" t="s">
        <v>347</v>
      </c>
      <c r="C17" s="45">
        <v>520.070728</v>
      </c>
      <c r="D17" s="45">
        <f>(1000000*D5)/10000</f>
        <v>25</v>
      </c>
      <c r="E17" s="45">
        <f>(1000000*E5)/10000</f>
        <v>24</v>
      </c>
      <c r="F17" s="45">
        <f>(2000000*F5)/10000</f>
        <v>46</v>
      </c>
      <c r="G17" s="45">
        <f>(1200707.28*G5)/10000</f>
        <v>26.41556016</v>
      </c>
      <c r="H17" s="12"/>
      <c r="I17" s="12"/>
      <c r="J17" s="12"/>
      <c r="K17" s="12"/>
      <c r="L17" s="37">
        <f t="shared" si="0"/>
        <v>121.41556016</v>
      </c>
      <c r="M17" s="45">
        <v>119.61622359</v>
      </c>
      <c r="N17" s="37">
        <f t="shared" si="1"/>
        <v>1.79933656999999</v>
      </c>
    </row>
    <row r="18" spans="1:14">
      <c r="A18" s="12">
        <v>13</v>
      </c>
      <c r="B18" s="12" t="s">
        <v>185</v>
      </c>
      <c r="C18" s="45">
        <v>53.822684</v>
      </c>
      <c r="D18" s="37">
        <f>C18*D5</f>
        <v>13.455671</v>
      </c>
      <c r="E18" s="37"/>
      <c r="F18" s="37"/>
      <c r="G18" s="37"/>
      <c r="H18" s="37"/>
      <c r="I18" s="37"/>
      <c r="J18" s="37"/>
      <c r="K18" s="37"/>
      <c r="L18" s="37">
        <f t="shared" si="0"/>
        <v>13.455671</v>
      </c>
      <c r="M18" s="45">
        <v>13.455641</v>
      </c>
      <c r="N18" s="37">
        <f t="shared" si="1"/>
        <v>2.99999999988643e-5</v>
      </c>
    </row>
    <row r="19" spans="1:14">
      <c r="A19" s="12">
        <v>14</v>
      </c>
      <c r="B19" s="12" t="s">
        <v>364</v>
      </c>
      <c r="C19" s="45">
        <v>168.003744</v>
      </c>
      <c r="D19" s="45">
        <f>(1000000*D5)/10000</f>
        <v>25</v>
      </c>
      <c r="E19" s="45">
        <f>(680037.44*E5)/10000</f>
        <v>16.32089856</v>
      </c>
      <c r="F19" s="37"/>
      <c r="G19" s="37"/>
      <c r="H19" s="37"/>
      <c r="I19" s="37"/>
      <c r="J19" s="37"/>
      <c r="K19" s="37"/>
      <c r="L19" s="37">
        <f t="shared" si="0"/>
        <v>41.32089856</v>
      </c>
      <c r="M19" s="45">
        <v>42.0009</v>
      </c>
      <c r="N19" s="37">
        <f t="shared" si="1"/>
        <v>-0.680001439999998</v>
      </c>
    </row>
    <row r="20" spans="1:14">
      <c r="A20" s="12">
        <v>15</v>
      </c>
      <c r="B20" s="12" t="s">
        <v>151</v>
      </c>
      <c r="C20" s="45">
        <v>55.391562</v>
      </c>
      <c r="D20" s="37">
        <f>C20*D5</f>
        <v>13.8478905</v>
      </c>
      <c r="E20" s="37"/>
      <c r="F20" s="37"/>
      <c r="G20" s="37"/>
      <c r="H20" s="37"/>
      <c r="I20" s="37"/>
      <c r="J20" s="37"/>
      <c r="K20" s="37"/>
      <c r="L20" s="37">
        <f t="shared" si="0"/>
        <v>13.8478905</v>
      </c>
      <c r="M20" s="45">
        <v>13.84785825</v>
      </c>
      <c r="N20" s="37">
        <f t="shared" si="1"/>
        <v>3.2250000000289e-5</v>
      </c>
    </row>
    <row r="21" spans="1:14">
      <c r="A21" s="12">
        <v>16</v>
      </c>
      <c r="B21" s="12" t="s">
        <v>377</v>
      </c>
      <c r="C21" s="45">
        <v>18.213168</v>
      </c>
      <c r="D21" s="37">
        <f>C21*D5</f>
        <v>4.553292</v>
      </c>
      <c r="E21" s="37"/>
      <c r="F21" s="37"/>
      <c r="G21" s="37"/>
      <c r="H21" s="37"/>
      <c r="I21" s="37"/>
      <c r="J21" s="37"/>
      <c r="K21" s="37"/>
      <c r="L21" s="37">
        <f t="shared" si="0"/>
        <v>4.553292</v>
      </c>
      <c r="M21" s="45">
        <v>4.553246</v>
      </c>
      <c r="N21" s="37">
        <f t="shared" si="1"/>
        <v>4.60000000002125e-5</v>
      </c>
    </row>
    <row r="22" spans="1:14">
      <c r="A22" s="12">
        <v>17</v>
      </c>
      <c r="B22" s="12" t="s">
        <v>155</v>
      </c>
      <c r="C22" s="45">
        <v>100.869498</v>
      </c>
      <c r="D22" s="45">
        <f>(1000000*D5)/10000</f>
        <v>25</v>
      </c>
      <c r="E22" s="45">
        <f>(8694.98*E5)/10000</f>
        <v>0.20867952</v>
      </c>
      <c r="F22" s="54"/>
      <c r="G22" s="37"/>
      <c r="H22" s="37"/>
      <c r="I22" s="37"/>
      <c r="J22" s="37"/>
      <c r="K22" s="37"/>
      <c r="L22" s="37">
        <f t="shared" si="0"/>
        <v>25.20867952</v>
      </c>
      <c r="M22" s="45">
        <v>25.2173</v>
      </c>
      <c r="N22" s="37">
        <f t="shared" si="1"/>
        <v>-0.00862048000000115</v>
      </c>
    </row>
    <row r="23" spans="1:14">
      <c r="A23" s="12">
        <v>18</v>
      </c>
      <c r="B23" s="12" t="s">
        <v>159</v>
      </c>
      <c r="C23" s="45">
        <v>229.041255</v>
      </c>
      <c r="D23" s="45">
        <f>(1000000*D5)/10000</f>
        <v>25</v>
      </c>
      <c r="E23" s="45">
        <f>(1000000*E5)/10000</f>
        <v>24</v>
      </c>
      <c r="F23" s="45">
        <f>(290412.55*F5)/10000</f>
        <v>6.67948865</v>
      </c>
      <c r="G23" s="37"/>
      <c r="H23" s="37"/>
      <c r="I23" s="37"/>
      <c r="J23" s="37"/>
      <c r="K23" s="37"/>
      <c r="L23" s="37">
        <f t="shared" si="0"/>
        <v>55.67948865</v>
      </c>
      <c r="M23" s="45">
        <v>54.96987624</v>
      </c>
      <c r="N23" s="37">
        <f t="shared" si="1"/>
        <v>0.709612409999998</v>
      </c>
    </row>
    <row r="24" spans="1:14">
      <c r="A24" s="12">
        <v>19</v>
      </c>
      <c r="B24" s="12" t="s">
        <v>163</v>
      </c>
      <c r="C24" s="45">
        <v>61.632688</v>
      </c>
      <c r="D24" s="37">
        <f>C24*D5</f>
        <v>15.408172</v>
      </c>
      <c r="E24" s="37"/>
      <c r="F24" s="37"/>
      <c r="G24" s="37"/>
      <c r="H24" s="37"/>
      <c r="I24" s="37"/>
      <c r="J24" s="37"/>
      <c r="K24" s="37"/>
      <c r="L24" s="37">
        <f t="shared" si="0"/>
        <v>15.408172</v>
      </c>
      <c r="M24" s="45">
        <v>15.40819075</v>
      </c>
      <c r="N24" s="37">
        <f t="shared" si="1"/>
        <v>-1.87499999988461e-5</v>
      </c>
    </row>
    <row r="25" spans="1:14">
      <c r="A25" s="12">
        <v>20</v>
      </c>
      <c r="B25" s="12" t="s">
        <v>173</v>
      </c>
      <c r="C25" s="45">
        <v>79.510702</v>
      </c>
      <c r="D25" s="37">
        <f>C25*D5</f>
        <v>19.8776755</v>
      </c>
      <c r="E25" s="37"/>
      <c r="F25" s="37"/>
      <c r="G25" s="37"/>
      <c r="H25" s="37"/>
      <c r="I25" s="37"/>
      <c r="J25" s="37"/>
      <c r="K25" s="37"/>
      <c r="L25" s="37">
        <f t="shared" si="0"/>
        <v>19.8776755</v>
      </c>
      <c r="M25" s="45">
        <v>19.8777</v>
      </c>
      <c r="N25" s="37">
        <f t="shared" si="1"/>
        <v>-2.45000000020923e-5</v>
      </c>
    </row>
    <row r="26" spans="1:14">
      <c r="A26" s="12">
        <v>21</v>
      </c>
      <c r="B26" s="12" t="s">
        <v>176</v>
      </c>
      <c r="C26" s="45">
        <v>195.632806</v>
      </c>
      <c r="D26" s="45">
        <f>(1000000*D5)/10000</f>
        <v>25</v>
      </c>
      <c r="E26" s="45">
        <f>(956328.06*E5)/10000</f>
        <v>22.95187344</v>
      </c>
      <c r="F26" s="37"/>
      <c r="G26" s="37"/>
      <c r="H26" s="37"/>
      <c r="I26" s="37"/>
      <c r="J26" s="37"/>
      <c r="K26" s="37"/>
      <c r="L26" s="37">
        <f t="shared" si="0"/>
        <v>47.95187344</v>
      </c>
      <c r="M26" s="45">
        <v>48.90824</v>
      </c>
      <c r="N26" s="37">
        <f t="shared" si="1"/>
        <v>-0.956366559999999</v>
      </c>
    </row>
    <row r="27" spans="1:14">
      <c r="A27" s="12">
        <v>22</v>
      </c>
      <c r="B27" s="12" t="s">
        <v>229</v>
      </c>
      <c r="C27" s="45">
        <v>137.053738</v>
      </c>
      <c r="D27" s="45">
        <f>(1000000*D5)/10000</f>
        <v>25</v>
      </c>
      <c r="E27" s="45">
        <f>(370537.38*E5)/10000</f>
        <v>8.89289712</v>
      </c>
      <c r="F27" s="37"/>
      <c r="G27" s="37"/>
      <c r="H27" s="37"/>
      <c r="I27" s="37"/>
      <c r="J27" s="37"/>
      <c r="K27" s="37"/>
      <c r="L27" s="37">
        <f t="shared" si="0"/>
        <v>33.89289712</v>
      </c>
      <c r="M27" s="45">
        <v>34.2633885</v>
      </c>
      <c r="N27" s="37">
        <f t="shared" si="1"/>
        <v>-0.370491379999997</v>
      </c>
    </row>
    <row r="28" spans="1:14">
      <c r="A28" s="12">
        <v>23</v>
      </c>
      <c r="B28" s="12" t="s">
        <v>180</v>
      </c>
      <c r="C28" s="45">
        <v>52.317033</v>
      </c>
      <c r="D28" s="37">
        <f>C28*D5</f>
        <v>13.07925825</v>
      </c>
      <c r="E28" s="37"/>
      <c r="F28" s="37"/>
      <c r="G28" s="37"/>
      <c r="H28" s="37"/>
      <c r="I28" s="37"/>
      <c r="J28" s="37"/>
      <c r="K28" s="37"/>
      <c r="L28" s="37">
        <f t="shared" si="0"/>
        <v>13.07925825</v>
      </c>
      <c r="M28" s="45">
        <v>13.079243</v>
      </c>
      <c r="N28" s="37">
        <f t="shared" si="1"/>
        <v>1.52500000005773e-5</v>
      </c>
    </row>
    <row r="29" spans="1:14">
      <c r="A29" s="12">
        <v>24</v>
      </c>
      <c r="B29" s="12" t="s">
        <v>215</v>
      </c>
      <c r="C29" s="45">
        <v>1293.4800154</v>
      </c>
      <c r="D29" s="45">
        <f>(1000000*D5)/10000</f>
        <v>25</v>
      </c>
      <c r="E29" s="45">
        <f>(1000000*E5)/10000</f>
        <v>24</v>
      </c>
      <c r="F29" s="45">
        <f>(2000000*F5)/10000</f>
        <v>46</v>
      </c>
      <c r="G29" s="45">
        <f>(2000000*G5)/10000</f>
        <v>44</v>
      </c>
      <c r="H29" s="45">
        <f>(4000000*H5)/10000</f>
        <v>84</v>
      </c>
      <c r="I29" s="45">
        <f>(2934800.15*H5)/10000</f>
        <v>61.63080315</v>
      </c>
      <c r="J29" s="37"/>
      <c r="K29" s="37"/>
      <c r="L29" s="37">
        <f t="shared" si="0"/>
        <v>284.63080315</v>
      </c>
      <c r="M29" s="45">
        <v>271.630849004</v>
      </c>
      <c r="N29" s="37">
        <f t="shared" si="1"/>
        <v>12.999954146</v>
      </c>
    </row>
    <row r="30" spans="1:14">
      <c r="A30" s="12">
        <v>25</v>
      </c>
      <c r="B30" s="12" t="s">
        <v>217</v>
      </c>
      <c r="C30" s="45">
        <v>178.782546</v>
      </c>
      <c r="D30" s="45">
        <f>(1000000*D5)/10000</f>
        <v>25</v>
      </c>
      <c r="E30" s="45">
        <f>(787825.46*E5)/10000</f>
        <v>18.90781104</v>
      </c>
      <c r="F30" s="55"/>
      <c r="G30" s="55"/>
      <c r="H30" s="55"/>
      <c r="I30" s="55"/>
      <c r="J30" s="37"/>
      <c r="K30" s="37"/>
      <c r="L30" s="37">
        <f t="shared" si="0"/>
        <v>43.90781104</v>
      </c>
      <c r="M30" s="45">
        <v>43.805336</v>
      </c>
      <c r="N30" s="37">
        <f t="shared" si="1"/>
        <v>0.102475040000002</v>
      </c>
    </row>
    <row r="31" spans="1:14">
      <c r="A31" s="12">
        <v>26</v>
      </c>
      <c r="B31" s="12" t="s">
        <v>507</v>
      </c>
      <c r="C31" s="45">
        <v>9.055947</v>
      </c>
      <c r="D31" s="37">
        <f>C31*D5</f>
        <v>2.26398675</v>
      </c>
      <c r="E31" s="37"/>
      <c r="F31" s="37"/>
      <c r="G31" s="37"/>
      <c r="H31" s="37"/>
      <c r="I31" s="37"/>
      <c r="J31" s="37"/>
      <c r="K31" s="37"/>
      <c r="L31" s="37">
        <f t="shared" si="0"/>
        <v>2.26398675</v>
      </c>
      <c r="M31" s="45">
        <v>2.26398625</v>
      </c>
      <c r="N31" s="37">
        <f t="shared" si="1"/>
        <v>5.00000000069889e-7</v>
      </c>
    </row>
    <row r="32" spans="1:14">
      <c r="A32" s="12">
        <v>27</v>
      </c>
      <c r="B32" s="12" t="s">
        <v>508</v>
      </c>
      <c r="C32" s="45">
        <v>97.707938</v>
      </c>
      <c r="D32" s="37">
        <f>C32*D5</f>
        <v>24.4269845</v>
      </c>
      <c r="E32" s="37"/>
      <c r="F32" s="37"/>
      <c r="G32" s="37"/>
      <c r="H32" s="37"/>
      <c r="I32" s="37"/>
      <c r="J32" s="37"/>
      <c r="K32" s="37"/>
      <c r="L32" s="37">
        <f t="shared" si="0"/>
        <v>24.4269845</v>
      </c>
      <c r="M32" s="45">
        <v>24.42695725</v>
      </c>
      <c r="N32" s="37">
        <f t="shared" si="1"/>
        <v>2.72499999987019e-5</v>
      </c>
    </row>
    <row r="33" s="48" customFormat="1" spans="1:14">
      <c r="A33" s="56">
        <v>28</v>
      </c>
      <c r="B33" s="56" t="s">
        <v>509</v>
      </c>
      <c r="C33" s="45">
        <v>210.528933</v>
      </c>
      <c r="D33" s="45">
        <f>(1000000*D5)/10000</f>
        <v>25</v>
      </c>
      <c r="E33" s="45">
        <f>(1000000*E5)/10000</f>
        <v>24</v>
      </c>
      <c r="F33" s="45">
        <f>(105289.33*F5)/10000</f>
        <v>2.42165459</v>
      </c>
      <c r="G33" s="57"/>
      <c r="H33" s="57"/>
      <c r="I33" s="57"/>
      <c r="J33" s="57"/>
      <c r="K33" s="57"/>
      <c r="L33" s="57">
        <f t="shared" si="0"/>
        <v>51.42165459</v>
      </c>
      <c r="M33" s="45">
        <v>50.52697392</v>
      </c>
      <c r="N33" s="57">
        <f t="shared" si="1"/>
        <v>0.89468067</v>
      </c>
    </row>
    <row r="34" spans="1:14">
      <c r="A34" s="12">
        <v>29</v>
      </c>
      <c r="B34" s="12" t="s">
        <v>510</v>
      </c>
      <c r="C34" s="45">
        <v>166.323834</v>
      </c>
      <c r="D34" s="45">
        <f>(1000000*D5)/10000</f>
        <v>25</v>
      </c>
      <c r="E34" s="45">
        <f>(663238.34*E5)/10000</f>
        <v>15.91772016</v>
      </c>
      <c r="F34" s="55"/>
      <c r="G34" s="37"/>
      <c r="H34" s="37"/>
      <c r="I34" s="37"/>
      <c r="J34" s="37"/>
      <c r="K34" s="37"/>
      <c r="L34" s="37">
        <f t="shared" si="0"/>
        <v>40.91772016</v>
      </c>
      <c r="M34" s="45">
        <v>41.58099425</v>
      </c>
      <c r="N34" s="37">
        <f t="shared" si="1"/>
        <v>-0.663274090000002</v>
      </c>
    </row>
    <row r="35" spans="1:14">
      <c r="A35" s="12">
        <v>30</v>
      </c>
      <c r="B35" s="12" t="s">
        <v>511</v>
      </c>
      <c r="C35" s="45">
        <v>78.580528</v>
      </c>
      <c r="D35" s="37">
        <f>C35*D5</f>
        <v>19.645132</v>
      </c>
      <c r="E35" s="37"/>
      <c r="F35" s="37"/>
      <c r="G35" s="37"/>
      <c r="H35" s="37"/>
      <c r="I35" s="37"/>
      <c r="J35" s="37"/>
      <c r="K35" s="37"/>
      <c r="L35" s="37">
        <f t="shared" si="0"/>
        <v>19.645132</v>
      </c>
      <c r="M35" s="45">
        <v>19.64509925</v>
      </c>
      <c r="N35" s="37">
        <f t="shared" si="1"/>
        <v>3.27500000025793e-5</v>
      </c>
    </row>
    <row r="36" spans="1:14">
      <c r="A36" s="12">
        <v>31</v>
      </c>
      <c r="B36" s="12" t="s">
        <v>512</v>
      </c>
      <c r="C36" s="45">
        <v>99.232035</v>
      </c>
      <c r="D36" s="37">
        <f>C36*D5</f>
        <v>24.80800875</v>
      </c>
      <c r="E36" s="37"/>
      <c r="F36" s="37"/>
      <c r="G36" s="37"/>
      <c r="H36" s="37"/>
      <c r="I36" s="37"/>
      <c r="J36" s="37"/>
      <c r="K36" s="37"/>
      <c r="L36" s="37">
        <f t="shared" si="0"/>
        <v>24.80800875</v>
      </c>
      <c r="M36" s="45">
        <v>24.807961</v>
      </c>
      <c r="N36" s="37">
        <f t="shared" si="1"/>
        <v>4.77500000002351e-5</v>
      </c>
    </row>
    <row r="37" spans="12:14">
      <c r="L37" s="8">
        <f t="shared" ref="L37:N37" si="2">SUM(L6:L36)</f>
        <v>1220.03797461</v>
      </c>
      <c r="M37" s="8">
        <f t="shared" si="2"/>
        <v>1207.136238894</v>
      </c>
      <c r="N37" s="8">
        <f t="shared" si="2"/>
        <v>12.901735716</v>
      </c>
    </row>
  </sheetData>
  <mergeCells count="5">
    <mergeCell ref="A4:A5"/>
    <mergeCell ref="B4:B5"/>
    <mergeCell ref="L4:L5"/>
    <mergeCell ref="M4:M5"/>
    <mergeCell ref="N4:N5"/>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workbookViewId="0">
      <selection activeCell="M12" sqref="M12"/>
    </sheetView>
  </sheetViews>
  <sheetFormatPr defaultColWidth="9" defaultRowHeight="14"/>
  <cols>
    <col min="1" max="1" width="6.72727272727273" customWidth="1"/>
    <col min="2" max="2" width="10.8727272727273" customWidth="1"/>
    <col min="3" max="3" width="10.3727272727273" customWidth="1"/>
    <col min="4" max="4" width="12.8181818181818" customWidth="1"/>
    <col min="5" max="5" width="14" customWidth="1"/>
    <col min="6" max="6" width="13.1818181818182" customWidth="1"/>
    <col min="7" max="7" width="11.1818181818182" customWidth="1"/>
    <col min="8" max="8" width="13.1818181818182" customWidth="1"/>
    <col min="9" max="9" width="11.4545454545455" customWidth="1"/>
    <col min="10" max="10" width="14" customWidth="1"/>
    <col min="11" max="11" width="11" customWidth="1"/>
    <col min="12" max="12" width="12.9090909090909" customWidth="1"/>
    <col min="13" max="13" width="14.1818181818182" customWidth="1"/>
  </cols>
  <sheetData>
    <row r="1" spans="1:1">
      <c r="A1" t="s">
        <v>513</v>
      </c>
    </row>
    <row r="2" ht="30" customHeight="1" spans="2:13">
      <c r="B2" s="41" t="s">
        <v>514</v>
      </c>
      <c r="C2" s="41"/>
      <c r="D2" s="41"/>
      <c r="E2" s="41"/>
      <c r="F2" s="41"/>
      <c r="G2" s="41"/>
      <c r="H2" s="41"/>
      <c r="I2" s="41"/>
      <c r="J2" s="41"/>
      <c r="K2" s="41"/>
      <c r="L2" s="41"/>
      <c r="M2" s="41"/>
    </row>
    <row r="3" ht="17" customHeight="1" spans="2:13">
      <c r="B3" s="41"/>
      <c r="C3" s="41"/>
      <c r="D3" s="41"/>
      <c r="E3" s="41"/>
      <c r="F3" s="41"/>
      <c r="G3" s="41"/>
      <c r="H3" s="41"/>
      <c r="I3" s="41"/>
      <c r="J3" s="41"/>
      <c r="K3" s="41"/>
      <c r="L3" s="41"/>
      <c r="M3" s="47" t="s">
        <v>125</v>
      </c>
    </row>
    <row r="4" ht="37" customHeight="1" spans="1:13">
      <c r="A4" s="23" t="s">
        <v>126</v>
      </c>
      <c r="B4" s="42" t="s">
        <v>128</v>
      </c>
      <c r="C4" s="23" t="s">
        <v>496</v>
      </c>
      <c r="D4" s="13" t="s">
        <v>515</v>
      </c>
      <c r="E4" s="13" t="s">
        <v>502</v>
      </c>
      <c r="F4" s="13" t="s">
        <v>503</v>
      </c>
      <c r="G4" s="13" t="s">
        <v>516</v>
      </c>
      <c r="H4" s="13" t="s">
        <v>517</v>
      </c>
      <c r="I4" s="13" t="s">
        <v>518</v>
      </c>
      <c r="J4" s="23" t="s">
        <v>519</v>
      </c>
      <c r="K4" s="39" t="s">
        <v>248</v>
      </c>
      <c r="L4" s="13" t="s">
        <v>249</v>
      </c>
      <c r="M4" s="39" t="s">
        <v>250</v>
      </c>
    </row>
    <row r="5" ht="24" customHeight="1" spans="1:13">
      <c r="A5" s="23"/>
      <c r="B5" s="43"/>
      <c r="C5" s="23" t="s">
        <v>520</v>
      </c>
      <c r="D5" s="44">
        <v>0.25</v>
      </c>
      <c r="E5" s="44">
        <v>0.22</v>
      </c>
      <c r="F5" s="44">
        <v>0.2</v>
      </c>
      <c r="G5" s="44">
        <v>0.18</v>
      </c>
      <c r="H5" s="44">
        <v>0.17</v>
      </c>
      <c r="I5" s="44">
        <v>0.16</v>
      </c>
      <c r="J5" s="12" t="s">
        <v>521</v>
      </c>
      <c r="K5" s="39"/>
      <c r="L5" s="13"/>
      <c r="M5" s="39"/>
    </row>
    <row r="6" ht="29" customHeight="1" spans="1:13">
      <c r="A6" s="23">
        <v>1</v>
      </c>
      <c r="B6" s="12" t="s">
        <v>522</v>
      </c>
      <c r="C6" s="45">
        <v>3092.569206</v>
      </c>
      <c r="D6" s="45">
        <f>(10000000*D5)/10000</f>
        <v>250</v>
      </c>
      <c r="E6" s="45">
        <f>(5000000*E5)/10000</f>
        <v>110</v>
      </c>
      <c r="F6" s="45">
        <f>(5000000*F5)/10000</f>
        <v>100</v>
      </c>
      <c r="G6" s="45">
        <f>(10000000*G5)/10000</f>
        <v>180</v>
      </c>
      <c r="H6" s="45">
        <f>(925692.06*H5)/10000</f>
        <v>15.73676502</v>
      </c>
      <c r="I6" s="12"/>
      <c r="J6" s="12"/>
      <c r="K6" s="37">
        <f t="shared" ref="K6:K9" si="0">SUM(D6:J6)</f>
        <v>655.73676502</v>
      </c>
      <c r="L6" s="45">
        <v>646.2169532</v>
      </c>
      <c r="M6" s="37">
        <f t="shared" ref="M6:M9" si="1">K6-L6</f>
        <v>9.51981181999997</v>
      </c>
    </row>
    <row r="7" ht="29" customHeight="1" spans="1:13">
      <c r="A7" s="23">
        <v>2</v>
      </c>
      <c r="B7" s="12" t="s">
        <v>206</v>
      </c>
      <c r="C7" s="45">
        <v>1772.065183</v>
      </c>
      <c r="D7" s="45">
        <f>(10000000*D5)/10000</f>
        <v>250</v>
      </c>
      <c r="E7" s="45">
        <f>(5000000*E5)/10000</f>
        <v>110</v>
      </c>
      <c r="F7" s="45">
        <f>(2720651.83*F5)/10000</f>
        <v>54.4130366</v>
      </c>
      <c r="G7" s="46"/>
      <c r="H7" s="12"/>
      <c r="I7" s="12"/>
      <c r="J7" s="12"/>
      <c r="K7" s="37">
        <f t="shared" si="0"/>
        <v>414.4130366</v>
      </c>
      <c r="L7" s="45">
        <v>443.01630675</v>
      </c>
      <c r="M7" s="37">
        <f t="shared" si="1"/>
        <v>-28.60327015</v>
      </c>
    </row>
    <row r="8" ht="29" customHeight="1" spans="1:13">
      <c r="A8" s="23">
        <v>3</v>
      </c>
      <c r="B8" s="12" t="s">
        <v>523</v>
      </c>
      <c r="C8" s="45">
        <v>12384.829971</v>
      </c>
      <c r="D8" s="12"/>
      <c r="E8" s="12"/>
      <c r="F8" s="12"/>
      <c r="G8" s="12"/>
      <c r="H8" s="12"/>
      <c r="I8" s="12"/>
      <c r="J8" s="45">
        <v>900</v>
      </c>
      <c r="K8" s="45">
        <v>900</v>
      </c>
      <c r="L8" s="45">
        <v>900</v>
      </c>
      <c r="M8" s="37">
        <f t="shared" si="1"/>
        <v>0</v>
      </c>
    </row>
    <row r="9" ht="29" customHeight="1" spans="1:13">
      <c r="A9" s="23">
        <v>4</v>
      </c>
      <c r="B9" s="12" t="s">
        <v>208</v>
      </c>
      <c r="C9" s="45">
        <v>13828.8065</v>
      </c>
      <c r="D9" s="12"/>
      <c r="E9" s="12"/>
      <c r="F9" s="12"/>
      <c r="G9" s="12"/>
      <c r="H9" s="12"/>
      <c r="I9" s="12"/>
      <c r="J9" s="45">
        <v>500</v>
      </c>
      <c r="K9" s="45">
        <v>500</v>
      </c>
      <c r="L9" s="45">
        <v>500</v>
      </c>
      <c r="M9" s="37">
        <f t="shared" si="1"/>
        <v>0</v>
      </c>
    </row>
    <row r="10" ht="22" customHeight="1" spans="1:13">
      <c r="A10" s="12"/>
      <c r="B10" s="12" t="s">
        <v>122</v>
      </c>
      <c r="C10" s="12"/>
      <c r="D10" s="12"/>
      <c r="E10" s="12"/>
      <c r="F10" s="12"/>
      <c r="G10" s="12"/>
      <c r="H10" s="12"/>
      <c r="I10" s="12"/>
      <c r="J10" s="12"/>
      <c r="K10" s="37">
        <f>SUM(K6:K9)</f>
        <v>2470.14980162</v>
      </c>
      <c r="L10" s="37">
        <f>SUM(L6:L9)</f>
        <v>2489.23325995</v>
      </c>
      <c r="M10" s="37">
        <f>SUM(M6:M9)</f>
        <v>-19.08345833</v>
      </c>
    </row>
  </sheetData>
  <mergeCells count="5">
    <mergeCell ref="A4:A5"/>
    <mergeCell ref="B4:B5"/>
    <mergeCell ref="K4:K5"/>
    <mergeCell ref="L4:L5"/>
    <mergeCell ref="M4:M5"/>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F53"/>
  <sheetViews>
    <sheetView workbookViewId="0">
      <pane xSplit="1" ySplit="3" topLeftCell="B16" activePane="bottomRight" state="frozen"/>
      <selection/>
      <selection pane="topRight"/>
      <selection pane="bottomLeft"/>
      <selection pane="bottomRight" activeCell="D52" sqref="D52"/>
    </sheetView>
  </sheetViews>
  <sheetFormatPr defaultColWidth="8.72727272727273" defaultRowHeight="14" outlineLevelCol="5"/>
  <cols>
    <col min="1" max="1" width="23.0909090909091" customWidth="1"/>
    <col min="2" max="2" width="21.1818181818182" customWidth="1"/>
    <col min="3" max="3" width="16.6363636363636" customWidth="1"/>
    <col min="4" max="4" width="13.3636363636364" customWidth="1"/>
    <col min="5" max="5" width="15.1818181818182" customWidth="1"/>
    <col min="6" max="6" width="24" customWidth="1"/>
  </cols>
  <sheetData>
    <row r="3" spans="1:6">
      <c r="A3" s="23" t="s">
        <v>524</v>
      </c>
      <c r="B3" s="12"/>
      <c r="C3" s="23" t="s">
        <v>525</v>
      </c>
      <c r="D3" s="23" t="s">
        <v>526</v>
      </c>
      <c r="E3" s="23" t="s">
        <v>527</v>
      </c>
      <c r="F3" s="23" t="s">
        <v>13</v>
      </c>
    </row>
    <row r="4" spans="1:6">
      <c r="A4" s="23"/>
      <c r="B4" s="12"/>
      <c r="C4" s="36">
        <f>SUM(C5:C8)</f>
        <v>517037.86</v>
      </c>
      <c r="D4" s="36">
        <f>SUM(D5:D8)</f>
        <v>373944.39</v>
      </c>
      <c r="E4" s="37">
        <f>C4-D4</f>
        <v>143093.47</v>
      </c>
      <c r="F4" s="23"/>
    </row>
    <row r="5" spans="1:6">
      <c r="A5" s="38" t="s">
        <v>528</v>
      </c>
      <c r="B5" s="39" t="s">
        <v>365</v>
      </c>
      <c r="C5" s="37">
        <v>384937.37</v>
      </c>
      <c r="D5" s="37">
        <v>241843.9</v>
      </c>
      <c r="E5" s="37">
        <f>C5-D5</f>
        <v>143093.47</v>
      </c>
      <c r="F5" s="12"/>
    </row>
    <row r="6" spans="1:6">
      <c r="A6" s="38"/>
      <c r="B6" s="39" t="s">
        <v>366</v>
      </c>
      <c r="C6" s="37">
        <v>88044.41</v>
      </c>
      <c r="D6" s="37">
        <v>88044.41</v>
      </c>
      <c r="E6" s="37">
        <f>C6-D6</f>
        <v>0</v>
      </c>
      <c r="F6" s="12"/>
    </row>
    <row r="7" spans="1:6">
      <c r="A7" s="38"/>
      <c r="B7" s="39" t="s">
        <v>367</v>
      </c>
      <c r="C7" s="37">
        <v>27989.2</v>
      </c>
      <c r="D7" s="37">
        <v>27989.2</v>
      </c>
      <c r="E7" s="37">
        <f>C7-D7</f>
        <v>0</v>
      </c>
      <c r="F7" s="12"/>
    </row>
    <row r="8" spans="1:6">
      <c r="A8" s="38"/>
      <c r="B8" s="39" t="s">
        <v>368</v>
      </c>
      <c r="C8" s="37">
        <v>16066.88</v>
      </c>
      <c r="D8" s="37">
        <v>16066.88</v>
      </c>
      <c r="E8" s="37">
        <f>C8-D8</f>
        <v>0</v>
      </c>
      <c r="F8" s="12"/>
    </row>
    <row r="9" spans="1:6">
      <c r="A9" s="13" t="s">
        <v>529</v>
      </c>
      <c r="B9" s="39" t="s">
        <v>285</v>
      </c>
      <c r="C9" s="40">
        <v>305353.71</v>
      </c>
      <c r="D9" s="37">
        <v>305353.71</v>
      </c>
      <c r="E9" s="37">
        <f t="shared" ref="E9:E22" si="0">C9-D9</f>
        <v>0</v>
      </c>
      <c r="F9" s="12"/>
    </row>
    <row r="10" spans="1:6">
      <c r="A10" s="13"/>
      <c r="B10" s="39" t="s">
        <v>286</v>
      </c>
      <c r="C10" s="40">
        <v>52283.53</v>
      </c>
      <c r="D10" s="37">
        <v>52283.53</v>
      </c>
      <c r="E10" s="37">
        <f t="shared" si="0"/>
        <v>0</v>
      </c>
      <c r="F10" s="12"/>
    </row>
    <row r="11" spans="1:6">
      <c r="A11" s="13"/>
      <c r="B11" s="39" t="s">
        <v>287</v>
      </c>
      <c r="C11" s="40">
        <v>12937.99</v>
      </c>
      <c r="D11" s="37">
        <v>12937.99</v>
      </c>
      <c r="E11" s="37">
        <f t="shared" si="0"/>
        <v>0</v>
      </c>
      <c r="F11" s="12"/>
    </row>
    <row r="12" spans="1:6">
      <c r="A12" s="13"/>
      <c r="B12" s="39" t="s">
        <v>288</v>
      </c>
      <c r="C12" s="40">
        <v>97169.21</v>
      </c>
      <c r="D12" s="37">
        <v>97169.21</v>
      </c>
      <c r="E12" s="37">
        <f t="shared" si="0"/>
        <v>0</v>
      </c>
      <c r="F12" s="12"/>
    </row>
    <row r="13" spans="1:6">
      <c r="A13" s="13"/>
      <c r="B13" s="39" t="s">
        <v>289</v>
      </c>
      <c r="C13" s="40">
        <v>189937.72</v>
      </c>
      <c r="D13" s="37">
        <v>189937.72</v>
      </c>
      <c r="E13" s="37">
        <f t="shared" si="0"/>
        <v>0</v>
      </c>
      <c r="F13" s="12"/>
    </row>
    <row r="14" spans="1:6">
      <c r="A14" s="13"/>
      <c r="B14" s="39" t="s">
        <v>290</v>
      </c>
      <c r="C14" s="40">
        <v>158821.06</v>
      </c>
      <c r="D14" s="37">
        <v>158821.06</v>
      </c>
      <c r="E14" s="37">
        <f t="shared" si="0"/>
        <v>0</v>
      </c>
      <c r="F14" s="12"/>
    </row>
    <row r="15" spans="1:6">
      <c r="A15" s="13"/>
      <c r="B15" s="39" t="s">
        <v>291</v>
      </c>
      <c r="C15" s="40">
        <v>61846.23</v>
      </c>
      <c r="D15" s="37">
        <v>61846.23</v>
      </c>
      <c r="E15" s="37">
        <f t="shared" si="0"/>
        <v>0</v>
      </c>
      <c r="F15" s="12"/>
    </row>
    <row r="16" spans="1:6">
      <c r="A16" s="13"/>
      <c r="B16" s="39" t="s">
        <v>292</v>
      </c>
      <c r="C16" s="40">
        <v>16795.45</v>
      </c>
      <c r="D16" s="37">
        <v>16795.45</v>
      </c>
      <c r="E16" s="37">
        <f t="shared" si="0"/>
        <v>0</v>
      </c>
      <c r="F16" s="12"/>
    </row>
    <row r="17" spans="1:6">
      <c r="A17" s="13"/>
      <c r="B17" s="39" t="s">
        <v>293</v>
      </c>
      <c r="C17" s="40">
        <v>7202.25</v>
      </c>
      <c r="D17" s="37">
        <v>7202.25</v>
      </c>
      <c r="E17" s="37">
        <f t="shared" si="0"/>
        <v>0</v>
      </c>
      <c r="F17" s="12"/>
    </row>
    <row r="18" spans="1:6">
      <c r="A18" s="12" t="s">
        <v>530</v>
      </c>
      <c r="B18" s="12"/>
      <c r="C18" s="37">
        <v>1957572.23</v>
      </c>
      <c r="D18" s="37">
        <v>2090575.23</v>
      </c>
      <c r="E18" s="37">
        <f t="shared" si="0"/>
        <v>-133003</v>
      </c>
      <c r="F18" s="12"/>
    </row>
    <row r="19" spans="1:6">
      <c r="A19" s="12" t="s">
        <v>531</v>
      </c>
      <c r="B19" s="12"/>
      <c r="C19" s="37">
        <v>5235483.072</v>
      </c>
      <c r="D19" s="37">
        <v>5235483.072</v>
      </c>
      <c r="E19" s="37">
        <f t="shared" si="0"/>
        <v>0</v>
      </c>
      <c r="F19" s="12"/>
    </row>
    <row r="20" spans="1:6">
      <c r="A20" s="12" t="s">
        <v>532</v>
      </c>
      <c r="B20" s="12"/>
      <c r="C20" s="37">
        <v>455053.45</v>
      </c>
      <c r="D20" s="37">
        <v>379989.46</v>
      </c>
      <c r="E20" s="37">
        <f t="shared" si="0"/>
        <v>75063.99</v>
      </c>
      <c r="F20" s="12"/>
    </row>
    <row r="21" spans="1:6">
      <c r="A21" s="12" t="s">
        <v>533</v>
      </c>
      <c r="B21" s="12"/>
      <c r="C21" s="37">
        <v>1064791</v>
      </c>
      <c r="D21" s="37">
        <v>1064971</v>
      </c>
      <c r="E21" s="37">
        <f t="shared" si="0"/>
        <v>-180</v>
      </c>
      <c r="F21" s="12"/>
    </row>
    <row r="22" spans="1:6">
      <c r="A22" s="12" t="s">
        <v>220</v>
      </c>
      <c r="B22" s="12"/>
      <c r="C22" s="37">
        <v>133358.58</v>
      </c>
      <c r="D22" s="37">
        <v>133358.58</v>
      </c>
      <c r="E22" s="37">
        <f t="shared" si="0"/>
        <v>0</v>
      </c>
      <c r="F22" s="12"/>
    </row>
    <row r="23" spans="3:4">
      <c r="C23" s="8"/>
      <c r="D23" s="8"/>
    </row>
    <row r="26" spans="2:5">
      <c r="B26" t="s">
        <v>534</v>
      </c>
      <c r="C26" t="s">
        <v>535</v>
      </c>
      <c r="D26" t="s">
        <v>536</v>
      </c>
      <c r="E26" t="s">
        <v>13</v>
      </c>
    </row>
    <row r="27" spans="1:4">
      <c r="A27" t="s">
        <v>252</v>
      </c>
      <c r="B27">
        <v>5</v>
      </c>
      <c r="C27">
        <v>5</v>
      </c>
      <c r="D27">
        <f>B27-C27</f>
        <v>0</v>
      </c>
    </row>
    <row r="28" spans="1:4">
      <c r="A28" t="s">
        <v>258</v>
      </c>
      <c r="B28">
        <v>7</v>
      </c>
      <c r="C28">
        <v>7</v>
      </c>
      <c r="D28">
        <f t="shared" ref="D28:D52" si="1">B28-C28</f>
        <v>0</v>
      </c>
    </row>
    <row r="29" spans="1:4">
      <c r="A29" t="s">
        <v>266</v>
      </c>
      <c r="B29">
        <v>6</v>
      </c>
      <c r="C29">
        <v>6</v>
      </c>
      <c r="D29">
        <f t="shared" si="1"/>
        <v>0</v>
      </c>
    </row>
    <row r="30" spans="1:4">
      <c r="A30" t="s">
        <v>226</v>
      </c>
      <c r="B30">
        <v>2</v>
      </c>
      <c r="C30">
        <v>2</v>
      </c>
      <c r="D30">
        <f t="shared" si="1"/>
        <v>0</v>
      </c>
    </row>
    <row r="31" spans="1:4">
      <c r="A31" t="s">
        <v>135</v>
      </c>
      <c r="B31">
        <v>7</v>
      </c>
      <c r="C31">
        <v>6</v>
      </c>
      <c r="D31">
        <f t="shared" si="1"/>
        <v>1</v>
      </c>
    </row>
    <row r="32" spans="1:4">
      <c r="A32" t="s">
        <v>137</v>
      </c>
      <c r="B32">
        <v>8</v>
      </c>
      <c r="C32">
        <v>4</v>
      </c>
      <c r="D32">
        <f t="shared" si="1"/>
        <v>4</v>
      </c>
    </row>
    <row r="33" spans="1:4">
      <c r="A33" t="s">
        <v>228</v>
      </c>
      <c r="B33">
        <v>9</v>
      </c>
      <c r="C33">
        <v>9</v>
      </c>
      <c r="D33">
        <f t="shared" si="1"/>
        <v>0</v>
      </c>
    </row>
    <row r="34" spans="1:4">
      <c r="A34" t="s">
        <v>142</v>
      </c>
      <c r="B34">
        <v>17</v>
      </c>
      <c r="C34">
        <v>15</v>
      </c>
      <c r="D34">
        <f t="shared" si="1"/>
        <v>2</v>
      </c>
    </row>
    <row r="35" spans="1:4">
      <c r="A35" t="s">
        <v>227</v>
      </c>
      <c r="B35">
        <v>13</v>
      </c>
      <c r="C35">
        <v>13</v>
      </c>
      <c r="D35">
        <f t="shared" si="1"/>
        <v>0</v>
      </c>
    </row>
    <row r="36" spans="1:4">
      <c r="A36" t="s">
        <v>145</v>
      </c>
      <c r="B36">
        <v>13</v>
      </c>
      <c r="C36">
        <v>10</v>
      </c>
      <c r="D36">
        <f t="shared" si="1"/>
        <v>3</v>
      </c>
    </row>
    <row r="37" spans="1:4">
      <c r="A37" t="s">
        <v>149</v>
      </c>
      <c r="B37">
        <v>17</v>
      </c>
      <c r="C37">
        <v>16</v>
      </c>
      <c r="D37">
        <f t="shared" si="1"/>
        <v>1</v>
      </c>
    </row>
    <row r="38" spans="1:4">
      <c r="A38" t="s">
        <v>347</v>
      </c>
      <c r="B38">
        <v>14</v>
      </c>
      <c r="C38">
        <v>14</v>
      </c>
      <c r="D38">
        <f t="shared" si="1"/>
        <v>0</v>
      </c>
    </row>
    <row r="39" spans="1:5">
      <c r="A39" t="s">
        <v>185</v>
      </c>
      <c r="B39">
        <v>10</v>
      </c>
      <c r="C39">
        <v>10</v>
      </c>
      <c r="D39">
        <f t="shared" si="1"/>
        <v>0</v>
      </c>
      <c r="E39" t="s">
        <v>537</v>
      </c>
    </row>
    <row r="40" spans="1:4">
      <c r="A40" t="s">
        <v>364</v>
      </c>
      <c r="B40">
        <v>4</v>
      </c>
      <c r="C40">
        <v>4</v>
      </c>
      <c r="D40">
        <f t="shared" si="1"/>
        <v>0</v>
      </c>
    </row>
    <row r="41" spans="1:4">
      <c r="A41" t="s">
        <v>151</v>
      </c>
      <c r="B41">
        <v>11</v>
      </c>
      <c r="C41">
        <v>8</v>
      </c>
      <c r="D41">
        <f t="shared" si="1"/>
        <v>3</v>
      </c>
    </row>
    <row r="42" spans="1:4">
      <c r="A42" t="s">
        <v>377</v>
      </c>
      <c r="B42">
        <v>9</v>
      </c>
      <c r="C42">
        <v>9</v>
      </c>
      <c r="D42">
        <f t="shared" si="1"/>
        <v>0</v>
      </c>
    </row>
    <row r="43" spans="1:4">
      <c r="A43" t="s">
        <v>155</v>
      </c>
      <c r="B43">
        <v>13</v>
      </c>
      <c r="C43">
        <v>10</v>
      </c>
      <c r="D43">
        <f t="shared" si="1"/>
        <v>3</v>
      </c>
    </row>
    <row r="44" spans="1:4">
      <c r="A44" t="s">
        <v>159</v>
      </c>
      <c r="B44">
        <v>21</v>
      </c>
      <c r="C44">
        <v>18</v>
      </c>
      <c r="D44">
        <f t="shared" si="1"/>
        <v>3</v>
      </c>
    </row>
    <row r="45" spans="1:5">
      <c r="A45" t="s">
        <v>163</v>
      </c>
      <c r="B45">
        <v>18</v>
      </c>
      <c r="C45">
        <v>9</v>
      </c>
      <c r="D45">
        <f t="shared" si="1"/>
        <v>9</v>
      </c>
      <c r="E45" t="s">
        <v>538</v>
      </c>
    </row>
    <row r="46" spans="1:4">
      <c r="A46" t="s">
        <v>173</v>
      </c>
      <c r="B46">
        <v>12</v>
      </c>
      <c r="C46">
        <v>10</v>
      </c>
      <c r="D46">
        <f t="shared" si="1"/>
        <v>2</v>
      </c>
    </row>
    <row r="47" spans="1:4">
      <c r="A47" t="s">
        <v>176</v>
      </c>
      <c r="B47">
        <v>3</v>
      </c>
      <c r="C47">
        <v>0</v>
      </c>
      <c r="D47">
        <f t="shared" si="1"/>
        <v>3</v>
      </c>
    </row>
    <row r="48" spans="1:4">
      <c r="A48" t="s">
        <v>229</v>
      </c>
      <c r="B48">
        <v>11</v>
      </c>
      <c r="C48">
        <v>11</v>
      </c>
      <c r="D48">
        <f t="shared" si="1"/>
        <v>0</v>
      </c>
    </row>
    <row r="49" spans="1:5">
      <c r="A49" t="s">
        <v>180</v>
      </c>
      <c r="B49">
        <v>6</v>
      </c>
      <c r="C49">
        <v>4</v>
      </c>
      <c r="D49">
        <f t="shared" si="1"/>
        <v>2</v>
      </c>
      <c r="E49" t="s">
        <v>539</v>
      </c>
    </row>
    <row r="50" spans="1:4">
      <c r="A50" t="s">
        <v>215</v>
      </c>
      <c r="B50">
        <v>33</v>
      </c>
      <c r="C50">
        <v>33</v>
      </c>
      <c r="D50">
        <f t="shared" si="1"/>
        <v>0</v>
      </c>
    </row>
    <row r="51" spans="1:4">
      <c r="A51" t="s">
        <v>217</v>
      </c>
      <c r="B51">
        <v>13</v>
      </c>
      <c r="C51">
        <v>13</v>
      </c>
      <c r="D51">
        <f t="shared" si="1"/>
        <v>0</v>
      </c>
    </row>
    <row r="52" spans="2:4">
      <c r="B52">
        <f>SUM(B27:B51)</f>
        <v>282</v>
      </c>
      <c r="C52">
        <f>SUM(C27:C51)</f>
        <v>246</v>
      </c>
      <c r="D52">
        <f t="shared" si="1"/>
        <v>36</v>
      </c>
    </row>
    <row r="53" spans="3:3">
      <c r="C53">
        <f>C52/B52</f>
        <v>0.872340425531915</v>
      </c>
    </row>
  </sheetData>
  <mergeCells count="3">
    <mergeCell ref="A3:B3"/>
    <mergeCell ref="A5:A8"/>
    <mergeCell ref="A9:A17"/>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M6"/>
  <sheetViews>
    <sheetView workbookViewId="0">
      <selection activeCell="J8" sqref="J8"/>
    </sheetView>
  </sheetViews>
  <sheetFormatPr defaultColWidth="8.87272727272727" defaultRowHeight="14" outlineLevelRow="5"/>
  <cols>
    <col min="1" max="1" width="27" customWidth="1"/>
    <col min="2" max="2" width="14.5" customWidth="1"/>
    <col min="4" max="4" width="18.5" customWidth="1"/>
  </cols>
  <sheetData>
    <row r="1" spans="1:13">
      <c r="A1" s="28" t="s">
        <v>540</v>
      </c>
      <c r="B1" s="28"/>
      <c r="C1" s="28"/>
      <c r="D1" s="28"/>
      <c r="E1" s="28"/>
      <c r="F1" s="28"/>
      <c r="G1" s="28"/>
      <c r="H1" s="28"/>
      <c r="I1" s="28"/>
      <c r="J1" s="28"/>
      <c r="K1" s="28"/>
      <c r="L1" s="28"/>
      <c r="M1" s="28"/>
    </row>
    <row r="2" ht="52" spans="1:13">
      <c r="A2" s="29" t="s">
        <v>541</v>
      </c>
      <c r="B2" s="30" t="s">
        <v>542</v>
      </c>
      <c r="C2" s="30" t="s">
        <v>543</v>
      </c>
      <c r="D2" s="30" t="s">
        <v>544</v>
      </c>
      <c r="E2" s="29" t="s">
        <v>545</v>
      </c>
      <c r="F2" s="29" t="s">
        <v>546</v>
      </c>
      <c r="G2" s="29" t="s">
        <v>547</v>
      </c>
      <c r="H2" s="29" t="s">
        <v>548</v>
      </c>
      <c r="I2" s="29" t="s">
        <v>549</v>
      </c>
      <c r="J2" s="29" t="s">
        <v>550</v>
      </c>
      <c r="K2" s="30" t="s">
        <v>551</v>
      </c>
      <c r="L2" s="30" t="s">
        <v>552</v>
      </c>
      <c r="M2" s="29" t="s">
        <v>553</v>
      </c>
    </row>
    <row r="3" spans="1:13">
      <c r="A3" s="30" t="s">
        <v>554</v>
      </c>
      <c r="B3" s="31" t="s">
        <v>555</v>
      </c>
      <c r="C3" s="29" t="s">
        <v>556</v>
      </c>
      <c r="D3" s="30" t="s">
        <v>557</v>
      </c>
      <c r="E3" s="30" t="s">
        <v>558</v>
      </c>
      <c r="F3" s="29" t="s">
        <v>559</v>
      </c>
      <c r="G3" s="29" t="s">
        <v>560</v>
      </c>
      <c r="H3" s="29" t="s">
        <v>122</v>
      </c>
      <c r="I3" s="29">
        <v>4630</v>
      </c>
      <c r="J3" s="34">
        <v>1521</v>
      </c>
      <c r="K3" s="30" t="s">
        <v>561</v>
      </c>
      <c r="L3" s="30" t="s">
        <v>562</v>
      </c>
      <c r="M3" s="29"/>
    </row>
    <row r="4" ht="26" spans="1:13">
      <c r="A4" s="29"/>
      <c r="B4" s="32"/>
      <c r="C4" s="29"/>
      <c r="D4" s="29"/>
      <c r="E4" s="29"/>
      <c r="F4" s="29"/>
      <c r="G4" s="29"/>
      <c r="H4" s="29" t="s">
        <v>563</v>
      </c>
      <c r="I4" s="29"/>
      <c r="J4" s="35">
        <v>721</v>
      </c>
      <c r="K4" s="29"/>
      <c r="L4" s="29"/>
      <c r="M4" s="29"/>
    </row>
    <row r="5" spans="1:13">
      <c r="A5" s="29"/>
      <c r="B5" s="32"/>
      <c r="C5" s="29"/>
      <c r="D5" s="29"/>
      <c r="E5" s="29"/>
      <c r="F5" s="29"/>
      <c r="G5" s="29"/>
      <c r="H5" s="29" t="s">
        <v>564</v>
      </c>
      <c r="I5" s="34">
        <v>3000</v>
      </c>
      <c r="J5" s="34">
        <v>800</v>
      </c>
      <c r="K5" s="29"/>
      <c r="L5" s="29"/>
      <c r="M5" s="29"/>
    </row>
    <row r="6" spans="1:13">
      <c r="A6" s="29"/>
      <c r="B6" s="33"/>
      <c r="C6" s="29"/>
      <c r="D6" s="29"/>
      <c r="E6" s="29"/>
      <c r="F6" s="29"/>
      <c r="G6" s="29"/>
      <c r="H6" s="29" t="s">
        <v>565</v>
      </c>
      <c r="I6" s="34">
        <v>1630</v>
      </c>
      <c r="J6" s="29"/>
      <c r="K6" s="29"/>
      <c r="L6" s="29"/>
      <c r="M6" s="29"/>
    </row>
  </sheetData>
  <mergeCells count="11">
    <mergeCell ref="A1:M1"/>
    <mergeCell ref="A3:A6"/>
    <mergeCell ref="B3:B6"/>
    <mergeCell ref="C3:C6"/>
    <mergeCell ref="D3:D6"/>
    <mergeCell ref="E3:E6"/>
    <mergeCell ref="F3:F6"/>
    <mergeCell ref="G3:G6"/>
    <mergeCell ref="K3:K6"/>
    <mergeCell ref="L3:L6"/>
    <mergeCell ref="M3:M6"/>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F10"/>
  <sheetViews>
    <sheetView workbookViewId="0">
      <selection activeCell="C6" sqref="C4:C6"/>
    </sheetView>
  </sheetViews>
  <sheetFormatPr defaultColWidth="8.87272727272727" defaultRowHeight="14" outlineLevelCol="5"/>
  <cols>
    <col min="1" max="1" width="17.5"/>
    <col min="2" max="2" width="13.1272727272727" customWidth="1"/>
    <col min="3" max="3" width="16.5" style="20"/>
    <col min="4" max="4" width="30.5" customWidth="1"/>
    <col min="5" max="5" width="36.5" customWidth="1"/>
    <col min="6" max="6" width="13" customWidth="1"/>
  </cols>
  <sheetData>
    <row r="1" spans="1:5">
      <c r="A1" s="12"/>
      <c r="B1" s="21" t="s">
        <v>566</v>
      </c>
      <c r="C1" s="21"/>
      <c r="D1" s="21"/>
      <c r="E1" s="21"/>
    </row>
    <row r="2" spans="1:5">
      <c r="A2" s="22"/>
      <c r="B2" s="22"/>
      <c r="C2" s="22"/>
      <c r="D2" s="22"/>
      <c r="E2" s="22"/>
    </row>
    <row r="3" spans="1:5">
      <c r="A3" t="s">
        <v>567</v>
      </c>
      <c r="B3" s="23" t="s">
        <v>568</v>
      </c>
      <c r="C3" s="16" t="s">
        <v>569</v>
      </c>
      <c r="D3" s="23" t="s">
        <v>570</v>
      </c>
      <c r="E3" s="23" t="s">
        <v>13</v>
      </c>
    </row>
    <row r="4" spans="1:6">
      <c r="A4" s="24" t="s">
        <v>571</v>
      </c>
      <c r="B4" s="15">
        <v>44179</v>
      </c>
      <c r="C4" s="16">
        <v>321</v>
      </c>
      <c r="D4" s="23" t="s">
        <v>572</v>
      </c>
      <c r="E4" s="23" t="s">
        <v>573</v>
      </c>
      <c r="F4" s="24"/>
    </row>
    <row r="5" spans="1:6">
      <c r="A5" s="24"/>
      <c r="B5" s="15">
        <v>44173</v>
      </c>
      <c r="C5" s="16">
        <v>400</v>
      </c>
      <c r="D5" s="23" t="s">
        <v>572</v>
      </c>
      <c r="E5" s="23" t="s">
        <v>573</v>
      </c>
      <c r="F5" s="24"/>
    </row>
    <row r="6" spans="1:6">
      <c r="A6" s="24"/>
      <c r="B6" s="15" t="s">
        <v>574</v>
      </c>
      <c r="C6" s="17">
        <f>SUM(C4:C5)</f>
        <v>721</v>
      </c>
      <c r="D6" s="23"/>
      <c r="E6" s="23"/>
      <c r="F6" s="24"/>
    </row>
    <row r="7" spans="1:5">
      <c r="A7" s="25"/>
      <c r="B7" s="26">
        <v>44376</v>
      </c>
      <c r="C7" s="17">
        <v>200</v>
      </c>
      <c r="D7" s="23" t="s">
        <v>572</v>
      </c>
      <c r="E7" s="27" t="s">
        <v>575</v>
      </c>
    </row>
    <row r="8" spans="1:5">
      <c r="A8" s="25"/>
      <c r="B8" s="26">
        <v>44456</v>
      </c>
      <c r="C8" s="17">
        <v>50</v>
      </c>
      <c r="D8" s="23" t="s">
        <v>572</v>
      </c>
      <c r="E8" s="27" t="s">
        <v>575</v>
      </c>
    </row>
    <row r="9" spans="1:5">
      <c r="A9" s="12"/>
      <c r="B9" s="23" t="s">
        <v>122</v>
      </c>
      <c r="C9" s="16">
        <f>C6+C7+C8</f>
        <v>971</v>
      </c>
      <c r="D9" s="23"/>
      <c r="E9" s="23"/>
    </row>
    <row r="10" spans="3:3">
      <c r="C10"/>
    </row>
  </sheetData>
  <mergeCells count="4">
    <mergeCell ref="A2:E2"/>
    <mergeCell ref="A4:A5"/>
    <mergeCell ref="A7:A8"/>
    <mergeCell ref="F4:F5"/>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附件1</vt:lpstr>
      <vt:lpstr>附件2</vt:lpstr>
      <vt:lpstr>附件3补助差异汇总表</vt:lpstr>
      <vt:lpstr>附件3-1村卫生室补助测算</vt:lpstr>
      <vt:lpstr>附件3-2区级一级医疗机构补助测算</vt:lpstr>
      <vt:lpstr>附件3-3二级及以上医疗机构补助测算</vt:lpstr>
      <vt:lpstr>Sheet2</vt:lpstr>
      <vt:lpstr>投资计划表</vt:lpstr>
      <vt:lpstr>拨入资金</vt:lpstr>
      <vt:lpstr>资金支付</vt:lpstr>
      <vt:lpstr>项目实施情况</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何永会</dc:creator>
  <cp:lastModifiedBy>秋雨梧桐</cp:lastModifiedBy>
  <dcterms:created xsi:type="dcterms:W3CDTF">2021-11-23T03:03:00Z</dcterms:created>
  <dcterms:modified xsi:type="dcterms:W3CDTF">2023-03-15T08:16:44Z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289FE4B37CCA4A2DBC6F371A3ABB20E1</vt:lpwstr>
  </property>
  <property fmtid="{D5CDD505-2E9C-101B-9397-08002B2CF9AE}" pid="4" name="KSOReadingLayout">
    <vt:bool>true</vt:bool>
  </property>
</Properties>
</file>